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ormuły" sheetId="1" r:id="rId1"/>
  </sheets>
  <definedNames>
    <definedName name="_xlnm.Print_Area" localSheetId="0">'formuły'!$A$2:$AO$43</definedName>
  </definedNames>
  <calcPr fullCalcOnLoad="1"/>
</workbook>
</file>

<file path=xl/sharedStrings.xml><?xml version="1.0" encoding="utf-8"?>
<sst xmlns="http://schemas.openxmlformats.org/spreadsheetml/2006/main" count="196" uniqueCount="60">
  <si>
    <t>Lp.</t>
  </si>
  <si>
    <t>Wyszczególnienie</t>
  </si>
  <si>
    <t>1.</t>
  </si>
  <si>
    <t>1.1</t>
  </si>
  <si>
    <t>pożyczek</t>
  </si>
  <si>
    <t>kredytów</t>
  </si>
  <si>
    <t>obligacji</t>
  </si>
  <si>
    <t>1.2</t>
  </si>
  <si>
    <t>pożyczki</t>
  </si>
  <si>
    <t>kredyty,  w tym:</t>
  </si>
  <si>
    <t>EBOiR</t>
  </si>
  <si>
    <t>obligacje</t>
  </si>
  <si>
    <t>1.3</t>
  </si>
  <si>
    <t xml:space="preserve">Zaciągnięte zobowiązania  </t>
  </si>
  <si>
    <t>Planowane zobowiązania</t>
  </si>
  <si>
    <t>Obsługa długu (2.1+2.2+2.3)</t>
  </si>
  <si>
    <t>2.1</t>
  </si>
  <si>
    <t xml:space="preserve">kredytów i pożyczek </t>
  </si>
  <si>
    <t>wykup papierów wartościowych</t>
  </si>
  <si>
    <t>udzielonych poręczeń</t>
  </si>
  <si>
    <t>2.2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</si>
  <si>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</si>
  <si>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</si>
  <si>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</si>
  <si>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</si>
  <si>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</si>
  <si>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</si>
  <si>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</si>
  <si>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</si>
  <si>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</si>
  <si>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</si>
  <si>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</si>
  <si>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</si>
  <si>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</si>
  <si>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</si>
  <si>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</si>
  <si>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</si>
  <si>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</si>
  <si>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stare</t>
  </si>
  <si>
    <t xml:space="preserve">    pożyczki</t>
  </si>
  <si>
    <t>a</t>
  </si>
  <si>
    <t>b</t>
  </si>
  <si>
    <t>c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</si>
  <si>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</si>
  <si>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r>
      <t xml:space="preserve">długu </t>
    </r>
    <r>
      <rPr>
        <sz val="10"/>
        <rFont val="Arial"/>
        <family val="2"/>
      </rPr>
      <t>(art. 170 ust. 1)         (1-2.1.a -2.1.b-2.2):3</t>
    </r>
  </si>
  <si>
    <t xml:space="preserve">PROGNOZA ŁĄCZNEJ KWOTY DŁUGU NA KONIEC ROKU BUDŻETOWEGO I LATA NASTĘPNE WYNIKAJĄCA Z PLANOWANYCH I ZACIĄGNIĘTYCH ZOBOWIĄZAŃ </t>
  </si>
  <si>
    <t>pożyczki nowe</t>
  </si>
  <si>
    <t>Planowane w roku budżetowym (bez zobowiązań określonych w art.170 ust. 3):</t>
  </si>
  <si>
    <t>Zaciągnięte zobowiązania (bez zobowiazań określonych w art.170 ust. 3) z tytułu:</t>
  </si>
  <si>
    <t>Pożyczki, kredyty i obligacje ( w związku z umową określoną w art.170 ust. 3):</t>
  </si>
  <si>
    <t>Spłata rat kapitałowych z wyłączeniem zobowiązań określonych w art.169 ust. 3</t>
  </si>
  <si>
    <t>Spłata rat kapitałowych z tytułu zobowiazań określonych w art. 169 ust. 3</t>
  </si>
  <si>
    <t>d</t>
  </si>
  <si>
    <t>poręczenia dotyczące MTBS udzielone w 2009 roku</t>
  </si>
  <si>
    <t xml:space="preserve">spłaty kredtów, pożyczek i obligacji </t>
  </si>
  <si>
    <t xml:space="preserve">nowe </t>
  </si>
  <si>
    <t xml:space="preserve">    kredyty</t>
  </si>
  <si>
    <t xml:space="preserve"> Przewidywana kwota długu na dzień 31.12.2009 </t>
  </si>
  <si>
    <r>
      <t>Przewidywana kwota długu na dzień 31.12.2009 roku w pozycji 1.1 ujęta została łączna kwota zobowiązań z tytułu pożyczek, kredytów  i obligacji, po pomniejszeniu stanu na dzień 1 stycznia 2009 roku (wynikającego z Rb - Z wg stanu na koniec 2008 roku) o częściowe umorzenie pożyczki zaciągniętej w Wojewódzkim Funduszu Ochrony Środowiska i Gospodarki Wodnej, tj. o kwotę 639.880,00 zł. 
Całkowita wartość umorzenia pożyczki Nr 925/04/OA/P wyniosła</t>
    </r>
    <r>
      <rPr>
        <b/>
        <sz val="10"/>
        <rFont val="Arial"/>
        <family val="2"/>
      </rPr>
      <t xml:space="preserve"> 777.800,00 zł</t>
    </r>
    <r>
      <rPr>
        <sz val="10"/>
        <rFont val="Arial"/>
        <family val="2"/>
      </rPr>
      <t xml:space="preserve">. Po stronie rozchodów budżetu miasta 2009 roku z tytułu spłaty pożyczek pozostała kwota </t>
    </r>
    <r>
      <rPr>
        <b/>
        <sz val="10"/>
        <rFont val="Arial"/>
        <family val="2"/>
      </rPr>
      <t>639.880,00 zł</t>
    </r>
    <r>
      <rPr>
        <sz val="10"/>
        <rFont val="Arial"/>
        <family val="2"/>
      </rPr>
      <t xml:space="preserve">. 
W związku z faktem, iż kwota umorzenia przekroczyła wysokość przypadającą do spłaty w bieżącym roku WFOŚiGW zwrócił różnicę, tj. kwotę </t>
    </r>
    <r>
      <rPr>
        <b/>
        <sz val="10"/>
        <rFont val="Arial"/>
        <family val="2"/>
      </rPr>
      <t>137.920,00 zł</t>
    </r>
    <r>
      <rPr>
        <sz val="10"/>
        <rFont val="Arial"/>
        <family val="2"/>
      </rPr>
      <t>. na rachunek budżetu.
Powyższe zaskutkowało zmniejszeniem łącznej kwoty zobowiązań z tytułu pożyczek o kwotę 639.880,00 zł. oraz zwiększeniem dochodów o kwotę 137.920,00 zł., tj. kwotę zwróconą przez WFOŚiGW.
Powyższa sytuacja powoduje, iż sprawozdania Rb - Z według stanu na dzień 31 grudnia 2008 roku, wynika wyższa łączna kwota zobowiązań z tytułu kredytów i pożyczek.</t>
    </r>
  </si>
  <si>
    <t>Umorzenie i inne zdarzenia mające wpływ na kwotę długu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</si>
</sst>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;[Red]#,##0.00"/>
    <numFmt numFmtId="170" formatCode="#,##0.00_ ;\-#,##0.00\ 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26"/>
      <name val="Arial CE"/>
      <family val="2"/>
    </font>
    <font>
      <b/>
      <i/>
      <sz val="16"/>
      <name val="Times New Roman CE"/>
      <family val="1"/>
    </font>
    <font>
      <b/>
      <sz val="22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wrapText="1" inden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3" fontId="4" fillId="0" borderId="1" xfId="15" applyFont="1" applyBorder="1" applyAlignment="1">
      <alignment horizontal="right" vertical="top" wrapText="1"/>
    </xf>
    <xf numFmtId="43" fontId="4" fillId="0" borderId="1" xfId="15" applyFont="1" applyBorder="1" applyAlignment="1">
      <alignment horizontal="right" wrapText="1"/>
    </xf>
    <xf numFmtId="43" fontId="4" fillId="0" borderId="1" xfId="15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 indent="1"/>
    </xf>
    <xf numFmtId="43" fontId="6" fillId="0" borderId="1" xfId="15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7" fillId="0" borderId="1" xfId="15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 wrapText="1" indent="1"/>
    </xf>
    <xf numFmtId="4" fontId="6" fillId="0" borderId="1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2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 indent="1"/>
    </xf>
    <xf numFmtId="43" fontId="11" fillId="0" borderId="1" xfId="15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2" fillId="0" borderId="1" xfId="15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wrapText="1" indent="1"/>
    </xf>
    <xf numFmtId="43" fontId="6" fillId="0" borderId="1" xfId="15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3" fontId="14" fillId="0" borderId="1" xfId="15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4" fontId="14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wrapText="1"/>
    </xf>
    <xf numFmtId="168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/>
    </xf>
    <xf numFmtId="170" fontId="4" fillId="0" borderId="1" xfId="0" applyNumberFormat="1" applyFont="1" applyBorder="1" applyAlignment="1">
      <alignment horizontal="righ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2"/>
  <sheetViews>
    <sheetView showGridLines="0" tabSelected="1" view="pageBreakPreview" zoomScaleSheetLayoutView="100" workbookViewId="0" topLeftCell="A30">
      <selection activeCell="D37" sqref="D37"/>
    </sheetView>
  </sheetViews>
  <sheetFormatPr defaultColWidth="9.00390625" defaultRowHeight="12.75"/>
  <cols>
    <col min="1" max="1" width="6.25390625" style="0" customWidth="1"/>
    <col min="2" max="2" width="52.375" style="0" customWidth="1"/>
    <col min="3" max="3" width="16.75390625" style="0" customWidth="1"/>
    <col min="4" max="4" width="13.375" style="0" customWidth="1"/>
    <col min="5" max="13" width="13.75390625" style="0" customWidth="1"/>
    <col min="14" max="14" width="14.125" style="0" customWidth="1"/>
    <col min="15" max="15" width="14.875" style="0" customWidth="1"/>
    <col min="16" max="16" width="10.125" style="0" customWidth="1"/>
    <col min="17" max="17" width="49.25390625" style="0" customWidth="1"/>
    <col min="18" max="30" width="13.75390625" style="0" customWidth="1"/>
    <col min="31" max="31" width="9.00390625" style="0" customWidth="1"/>
    <col min="32" max="32" width="47.25390625" style="0" customWidth="1"/>
    <col min="33" max="35" width="13.75390625" style="0" customWidth="1"/>
    <col min="36" max="36" width="15.125" style="0" customWidth="1"/>
    <col min="37" max="37" width="16.00390625" style="0" customWidth="1"/>
    <col min="38" max="41" width="16.25390625" style="0" customWidth="1"/>
  </cols>
  <sheetData>
    <row r="1" ht="12.75" hidden="1"/>
    <row r="2" spans="1:17" ht="57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81"/>
      <c r="N2" s="82"/>
      <c r="O2" s="82"/>
      <c r="P2" s="72"/>
      <c r="Q2" s="72"/>
    </row>
    <row r="3" spans="1:17" ht="80.25" customHeight="1">
      <c r="A3" s="44"/>
      <c r="B3" s="42"/>
      <c r="C3" s="89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2"/>
      <c r="Q3" s="42"/>
    </row>
    <row r="4" spans="1:41" s="3" customFormat="1" ht="35.25" customHeight="1">
      <c r="A4" s="83" t="s">
        <v>0</v>
      </c>
      <c r="B4" s="83" t="s">
        <v>1</v>
      </c>
      <c r="C4" s="84" t="s">
        <v>57</v>
      </c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83" t="s">
        <v>0</v>
      </c>
      <c r="Q4" s="83" t="s">
        <v>1</v>
      </c>
      <c r="R4" s="75"/>
      <c r="S4" s="7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83" t="s">
        <v>0</v>
      </c>
      <c r="AF4" s="83" t="s">
        <v>1</v>
      </c>
      <c r="AG4" s="45"/>
      <c r="AH4" s="45"/>
      <c r="AI4" s="45"/>
      <c r="AJ4" s="45"/>
      <c r="AK4" s="45"/>
      <c r="AL4" s="45"/>
      <c r="AM4" s="47"/>
      <c r="AN4" s="47"/>
      <c r="AO4" s="47"/>
    </row>
    <row r="5" spans="1:41" s="3" customFormat="1" ht="46.5" customHeight="1">
      <c r="A5" s="83"/>
      <c r="B5" s="83"/>
      <c r="C5" s="85"/>
      <c r="D5" s="77" t="s">
        <v>59</v>
      </c>
      <c r="E5" s="41">
        <v>2010</v>
      </c>
      <c r="F5" s="41">
        <v>2011</v>
      </c>
      <c r="G5" s="41">
        <v>2012</v>
      </c>
      <c r="H5" s="41">
        <v>2013</v>
      </c>
      <c r="I5" s="41">
        <v>2014</v>
      </c>
      <c r="J5" s="41">
        <v>2015</v>
      </c>
      <c r="K5" s="41">
        <v>2016</v>
      </c>
      <c r="L5" s="41">
        <v>2017</v>
      </c>
      <c r="M5" s="41">
        <v>2018</v>
      </c>
      <c r="N5" s="41">
        <v>2019</v>
      </c>
      <c r="O5" s="41">
        <v>2020</v>
      </c>
      <c r="P5" s="83"/>
      <c r="Q5" s="83"/>
      <c r="R5" s="41">
        <v>2021</v>
      </c>
      <c r="S5" s="41">
        <v>2022</v>
      </c>
      <c r="T5" s="2">
        <v>2023</v>
      </c>
      <c r="U5" s="2">
        <v>2024</v>
      </c>
      <c r="V5" s="2">
        <v>2025</v>
      </c>
      <c r="W5" s="2">
        <v>2026</v>
      </c>
      <c r="X5" s="2">
        <v>2027</v>
      </c>
      <c r="Y5" s="2">
        <v>2028</v>
      </c>
      <c r="Z5" s="2">
        <v>2029</v>
      </c>
      <c r="AA5" s="2">
        <v>2030</v>
      </c>
      <c r="AB5" s="2">
        <v>2031</v>
      </c>
      <c r="AC5" s="2">
        <v>2032</v>
      </c>
      <c r="AD5" s="2">
        <v>2033</v>
      </c>
      <c r="AE5" s="83"/>
      <c r="AF5" s="83"/>
      <c r="AG5" s="2">
        <v>2034</v>
      </c>
      <c r="AH5" s="2">
        <v>2035</v>
      </c>
      <c r="AI5" s="2">
        <v>2036</v>
      </c>
      <c r="AJ5" s="2">
        <v>2037</v>
      </c>
      <c r="AK5" s="2">
        <v>2038</v>
      </c>
      <c r="AL5" s="2">
        <v>2039</v>
      </c>
      <c r="AM5" s="2">
        <v>2040</v>
      </c>
      <c r="AN5" s="2">
        <v>2041</v>
      </c>
      <c r="AO5" s="2">
        <v>2042</v>
      </c>
    </row>
    <row r="6" spans="1:41" s="5" customFormat="1" ht="8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</v>
      </c>
      <c r="Q6" s="4">
        <v>2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1</v>
      </c>
      <c r="AF6" s="4">
        <v>2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4">
        <v>34</v>
      </c>
      <c r="AM6" s="4">
        <v>35</v>
      </c>
      <c r="AN6" s="4">
        <v>36</v>
      </c>
      <c r="AO6" s="4">
        <v>37</v>
      </c>
    </row>
    <row r="7" spans="1:41" s="3" customFormat="1" ht="22.5" customHeight="1">
      <c r="A7" s="2" t="s">
        <v>2</v>
      </c>
      <c r="B7" s="23" t="s">
        <v>35</v>
      </c>
      <c r="C7" s="25">
        <f>C8+C12+C17</f>
        <v>263097927.82</v>
      </c>
      <c r="D7" s="25"/>
      <c r="E7" s="25">
        <f aca="true" t="shared" si="0" ref="E7:AO7">E8+E12+E17</f>
        <v>327287927.82</v>
      </c>
      <c r="F7" s="25">
        <f t="shared" si="0"/>
        <v>312757047.82</v>
      </c>
      <c r="G7" s="25">
        <f t="shared" si="0"/>
        <v>292626167.82</v>
      </c>
      <c r="H7" s="25">
        <f t="shared" si="0"/>
        <v>268495287.82</v>
      </c>
      <c r="I7" s="25">
        <f t="shared" si="0"/>
        <v>244364407.82</v>
      </c>
      <c r="J7" s="25">
        <f t="shared" si="0"/>
        <v>220223527.82</v>
      </c>
      <c r="K7" s="25">
        <f t="shared" si="0"/>
        <v>196742647.82</v>
      </c>
      <c r="L7" s="25">
        <f t="shared" si="0"/>
        <v>173261767.82</v>
      </c>
      <c r="M7" s="25">
        <f t="shared" si="0"/>
        <v>149780887.82</v>
      </c>
      <c r="N7" s="25">
        <f t="shared" si="0"/>
        <v>125300000</v>
      </c>
      <c r="O7" s="25">
        <f t="shared" si="0"/>
        <v>100650000</v>
      </c>
      <c r="P7" s="2" t="s">
        <v>2</v>
      </c>
      <c r="Q7" s="23" t="s">
        <v>35</v>
      </c>
      <c r="R7" s="25">
        <f t="shared" si="0"/>
        <v>79000000</v>
      </c>
      <c r="S7" s="25">
        <f t="shared" si="0"/>
        <v>64000000</v>
      </c>
      <c r="T7" s="25">
        <f t="shared" si="0"/>
        <v>48000000</v>
      </c>
      <c r="U7" s="25">
        <f t="shared" si="0"/>
        <v>36000000</v>
      </c>
      <c r="V7" s="25">
        <f t="shared" si="0"/>
        <v>24000000</v>
      </c>
      <c r="W7" s="25">
        <f t="shared" si="0"/>
        <v>12000000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0</v>
      </c>
      <c r="AD7" s="25">
        <f t="shared" si="0"/>
        <v>0</v>
      </c>
      <c r="AE7" s="2" t="s">
        <v>2</v>
      </c>
      <c r="AF7" s="23" t="s">
        <v>35</v>
      </c>
      <c r="AG7" s="25">
        <f t="shared" si="0"/>
        <v>0</v>
      </c>
      <c r="AH7" s="25">
        <f t="shared" si="0"/>
        <v>0</v>
      </c>
      <c r="AI7" s="25">
        <f t="shared" si="0"/>
        <v>0</v>
      </c>
      <c r="AJ7" s="25">
        <f t="shared" si="0"/>
        <v>0</v>
      </c>
      <c r="AK7" s="25">
        <f t="shared" si="0"/>
        <v>0</v>
      </c>
      <c r="AL7" s="25">
        <f t="shared" si="0"/>
        <v>0</v>
      </c>
      <c r="AM7" s="25">
        <f t="shared" si="0"/>
        <v>0</v>
      </c>
      <c r="AN7" s="25">
        <f t="shared" si="0"/>
        <v>0</v>
      </c>
      <c r="AO7" s="25">
        <f t="shared" si="0"/>
        <v>0</v>
      </c>
    </row>
    <row r="8" spans="1:41" s="10" customFormat="1" ht="27.75" customHeight="1">
      <c r="A8" s="8" t="s">
        <v>3</v>
      </c>
      <c r="B8" s="9" t="s">
        <v>48</v>
      </c>
      <c r="C8" s="18">
        <f>SUM(C9:C11)</f>
        <v>193097927.82</v>
      </c>
      <c r="D8" s="18"/>
      <c r="E8" s="18">
        <f aca="true" t="shared" si="1" ref="E8:AL8">SUM(E9:E11)</f>
        <v>246677927.82</v>
      </c>
      <c r="F8" s="18">
        <f>SUM(F9:F11)</f>
        <v>312757047.82</v>
      </c>
      <c r="G8" s="18">
        <f>SUM(G9:G11)</f>
        <v>292626167.82</v>
      </c>
      <c r="H8" s="18">
        <f t="shared" si="1"/>
        <v>268495287.82</v>
      </c>
      <c r="I8" s="18">
        <f t="shared" si="1"/>
        <v>244364407.82</v>
      </c>
      <c r="J8" s="18">
        <f t="shared" si="1"/>
        <v>220223527.82</v>
      </c>
      <c r="K8" s="18">
        <f t="shared" si="1"/>
        <v>196742647.82</v>
      </c>
      <c r="L8" s="18">
        <f t="shared" si="1"/>
        <v>173261767.82</v>
      </c>
      <c r="M8" s="18">
        <f t="shared" si="1"/>
        <v>149780887.82</v>
      </c>
      <c r="N8" s="18">
        <f t="shared" si="1"/>
        <v>125300000</v>
      </c>
      <c r="O8" s="18">
        <f t="shared" si="1"/>
        <v>100650000</v>
      </c>
      <c r="P8" s="8" t="s">
        <v>3</v>
      </c>
      <c r="Q8" s="9" t="s">
        <v>48</v>
      </c>
      <c r="R8" s="18">
        <f t="shared" si="1"/>
        <v>79000000</v>
      </c>
      <c r="S8" s="18">
        <f t="shared" si="1"/>
        <v>64000000</v>
      </c>
      <c r="T8" s="18">
        <f t="shared" si="1"/>
        <v>48000000</v>
      </c>
      <c r="U8" s="18">
        <f t="shared" si="1"/>
        <v>36000000</v>
      </c>
      <c r="V8" s="18">
        <f t="shared" si="1"/>
        <v>24000000</v>
      </c>
      <c r="W8" s="18">
        <f t="shared" si="1"/>
        <v>12000000</v>
      </c>
      <c r="X8" s="18">
        <f>SUM(X9:X11)</f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8" t="s">
        <v>3</v>
      </c>
      <c r="AF8" s="9" t="s">
        <v>48</v>
      </c>
      <c r="AG8" s="18">
        <f t="shared" si="1"/>
        <v>0</v>
      </c>
      <c r="AH8" s="18">
        <f t="shared" si="1"/>
        <v>0</v>
      </c>
      <c r="AI8" s="18">
        <f t="shared" si="1"/>
        <v>0</v>
      </c>
      <c r="AJ8" s="18">
        <f t="shared" si="1"/>
        <v>0</v>
      </c>
      <c r="AK8" s="18">
        <f t="shared" si="1"/>
        <v>0</v>
      </c>
      <c r="AL8" s="18">
        <f t="shared" si="1"/>
        <v>0</v>
      </c>
      <c r="AM8" s="18">
        <f>SUM(AM9:AM11)</f>
        <v>0</v>
      </c>
      <c r="AN8" s="18">
        <f>SUM(AN9:AN11)</f>
        <v>0</v>
      </c>
      <c r="AO8" s="18">
        <f>SUM(AO9:AO11)</f>
        <v>0</v>
      </c>
    </row>
    <row r="9" spans="1:41" s="10" customFormat="1" ht="15" customHeight="1">
      <c r="A9" s="11" t="s">
        <v>40</v>
      </c>
      <c r="B9" s="12" t="s">
        <v>4</v>
      </c>
      <c r="C9" s="18">
        <v>1897927.82</v>
      </c>
      <c r="D9" s="76">
        <v>777800</v>
      </c>
      <c r="E9" s="18">
        <f>1897927.82</f>
        <v>1897927.82</v>
      </c>
      <c r="F9" s="18">
        <f>E9-E24+E13</f>
        <v>2297047.8200000003</v>
      </c>
      <c r="G9" s="18">
        <f aca="true" t="shared" si="2" ref="G9:O9">F9-F24-F26</f>
        <v>1936167.8200000003</v>
      </c>
      <c r="H9" s="18">
        <f t="shared" si="2"/>
        <v>1575287.8200000003</v>
      </c>
      <c r="I9" s="18">
        <f t="shared" si="2"/>
        <v>1214407.8200000003</v>
      </c>
      <c r="J9" s="18">
        <f t="shared" si="2"/>
        <v>843527.8200000003</v>
      </c>
      <c r="K9" s="18">
        <f t="shared" si="2"/>
        <v>632647.8200000003</v>
      </c>
      <c r="L9" s="18">
        <f t="shared" si="2"/>
        <v>421767.8200000003</v>
      </c>
      <c r="M9" s="18">
        <f t="shared" si="2"/>
        <v>210887.8200000003</v>
      </c>
      <c r="N9" s="18">
        <f t="shared" si="2"/>
        <v>2.9103830456733704E-10</v>
      </c>
      <c r="O9" s="18">
        <f t="shared" si="2"/>
        <v>2.9103830456733704E-10</v>
      </c>
      <c r="P9" s="11" t="s">
        <v>40</v>
      </c>
      <c r="Q9" s="12" t="s">
        <v>4</v>
      </c>
      <c r="R9" s="18">
        <f>O9-O24-O26</f>
        <v>2.9103830456733704E-10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1" t="s">
        <v>40</v>
      </c>
      <c r="AF9" s="12" t="s">
        <v>4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</row>
    <row r="10" spans="1:41" s="10" customFormat="1" ht="15" customHeight="1">
      <c r="A10" s="11" t="s">
        <v>41</v>
      </c>
      <c r="B10" s="12" t="s">
        <v>5</v>
      </c>
      <c r="C10" s="18">
        <v>143200000</v>
      </c>
      <c r="D10" s="18"/>
      <c r="E10" s="18">
        <f>C10+C14-C23</f>
        <v>204780000</v>
      </c>
      <c r="F10" s="18">
        <f>E10+E14-E25</f>
        <v>194460000</v>
      </c>
      <c r="G10" s="18">
        <f aca="true" t="shared" si="3" ref="G10:W10">F10-F25</f>
        <v>178690000</v>
      </c>
      <c r="H10" s="18">
        <f t="shared" si="3"/>
        <v>158920000</v>
      </c>
      <c r="I10" s="18">
        <f t="shared" si="3"/>
        <v>139150000</v>
      </c>
      <c r="J10" s="18">
        <f t="shared" si="3"/>
        <v>119380000</v>
      </c>
      <c r="K10" s="18">
        <f t="shared" si="3"/>
        <v>104110000</v>
      </c>
      <c r="L10" s="18">
        <f t="shared" si="3"/>
        <v>88840000</v>
      </c>
      <c r="M10" s="18">
        <f t="shared" si="3"/>
        <v>73570000</v>
      </c>
      <c r="N10" s="18">
        <f t="shared" si="3"/>
        <v>57300000</v>
      </c>
      <c r="O10" s="18">
        <f t="shared" si="3"/>
        <v>44650000</v>
      </c>
      <c r="P10" s="11" t="s">
        <v>41</v>
      </c>
      <c r="Q10" s="12" t="s">
        <v>5</v>
      </c>
      <c r="R10" s="18">
        <f>O10-O25</f>
        <v>31000000</v>
      </c>
      <c r="S10" s="18">
        <f t="shared" si="3"/>
        <v>24000000</v>
      </c>
      <c r="T10" s="18">
        <f t="shared" si="3"/>
        <v>16000000</v>
      </c>
      <c r="U10" s="18">
        <f t="shared" si="3"/>
        <v>12000000</v>
      </c>
      <c r="V10" s="18">
        <f t="shared" si="3"/>
        <v>8000000</v>
      </c>
      <c r="W10" s="18">
        <f t="shared" si="3"/>
        <v>4000000</v>
      </c>
      <c r="X10" s="18">
        <f>W10-W23</f>
        <v>0</v>
      </c>
      <c r="Y10" s="18">
        <f aca="true" t="shared" si="4" ref="Y10:AO10">X10-X25</f>
        <v>0</v>
      </c>
      <c r="Z10" s="18">
        <f t="shared" si="4"/>
        <v>0</v>
      </c>
      <c r="AA10" s="18">
        <f t="shared" si="4"/>
        <v>0</v>
      </c>
      <c r="AB10" s="18">
        <f t="shared" si="4"/>
        <v>0</v>
      </c>
      <c r="AC10" s="18">
        <f t="shared" si="4"/>
        <v>0</v>
      </c>
      <c r="AD10" s="18">
        <f t="shared" si="4"/>
        <v>0</v>
      </c>
      <c r="AE10" s="11" t="s">
        <v>41</v>
      </c>
      <c r="AF10" s="12" t="s">
        <v>5</v>
      </c>
      <c r="AG10" s="18">
        <f>AD10-AD25</f>
        <v>0</v>
      </c>
      <c r="AH10" s="18">
        <f t="shared" si="4"/>
        <v>0</v>
      </c>
      <c r="AI10" s="18">
        <f t="shared" si="4"/>
        <v>0</v>
      </c>
      <c r="AJ10" s="18">
        <f t="shared" si="4"/>
        <v>0</v>
      </c>
      <c r="AK10" s="18">
        <f t="shared" si="4"/>
        <v>0</v>
      </c>
      <c r="AL10" s="18">
        <f t="shared" si="4"/>
        <v>0</v>
      </c>
      <c r="AM10" s="18">
        <f t="shared" si="4"/>
        <v>0</v>
      </c>
      <c r="AN10" s="18">
        <f t="shared" si="4"/>
        <v>0</v>
      </c>
      <c r="AO10" s="18">
        <f t="shared" si="4"/>
        <v>0</v>
      </c>
    </row>
    <row r="11" spans="1:41" s="10" customFormat="1" ht="15" customHeight="1">
      <c r="A11" s="11" t="s">
        <v>42</v>
      </c>
      <c r="B11" s="12" t="s">
        <v>6</v>
      </c>
      <c r="C11" s="18">
        <v>48000000</v>
      </c>
      <c r="D11" s="18"/>
      <c r="E11" s="18">
        <f>C11-C27</f>
        <v>40000000</v>
      </c>
      <c r="F11" s="18">
        <f aca="true" t="shared" si="5" ref="F11:AO11">E11+E16-E27</f>
        <v>116000000</v>
      </c>
      <c r="G11" s="18">
        <f t="shared" si="5"/>
        <v>112000000</v>
      </c>
      <c r="H11" s="18">
        <f t="shared" si="5"/>
        <v>108000000</v>
      </c>
      <c r="I11" s="18">
        <f t="shared" si="5"/>
        <v>104000000</v>
      </c>
      <c r="J11" s="18">
        <f t="shared" si="5"/>
        <v>100000000</v>
      </c>
      <c r="K11" s="18">
        <f t="shared" si="5"/>
        <v>92000000</v>
      </c>
      <c r="L11" s="18">
        <f t="shared" si="5"/>
        <v>84000000</v>
      </c>
      <c r="M11" s="18">
        <f t="shared" si="5"/>
        <v>76000000</v>
      </c>
      <c r="N11" s="18">
        <f t="shared" si="5"/>
        <v>68000000</v>
      </c>
      <c r="O11" s="18">
        <f t="shared" si="5"/>
        <v>56000000</v>
      </c>
      <c r="P11" s="11" t="s">
        <v>42</v>
      </c>
      <c r="Q11" s="12" t="s">
        <v>6</v>
      </c>
      <c r="R11" s="18">
        <f>O11+O16-O27</f>
        <v>48000000</v>
      </c>
      <c r="S11" s="18">
        <f t="shared" si="5"/>
        <v>40000000</v>
      </c>
      <c r="T11" s="18">
        <f t="shared" si="5"/>
        <v>32000000</v>
      </c>
      <c r="U11" s="18">
        <f t="shared" si="5"/>
        <v>24000000</v>
      </c>
      <c r="V11" s="18">
        <f t="shared" si="5"/>
        <v>16000000</v>
      </c>
      <c r="W11" s="18">
        <f t="shared" si="5"/>
        <v>8000000</v>
      </c>
      <c r="X11" s="18">
        <f t="shared" si="5"/>
        <v>0</v>
      </c>
      <c r="Y11" s="18">
        <f t="shared" si="5"/>
        <v>0</v>
      </c>
      <c r="Z11" s="18">
        <f t="shared" si="5"/>
        <v>0</v>
      </c>
      <c r="AA11" s="18">
        <f t="shared" si="5"/>
        <v>0</v>
      </c>
      <c r="AB11" s="18">
        <f t="shared" si="5"/>
        <v>0</v>
      </c>
      <c r="AC11" s="18">
        <f t="shared" si="5"/>
        <v>0</v>
      </c>
      <c r="AD11" s="18">
        <f t="shared" si="5"/>
        <v>0</v>
      </c>
      <c r="AE11" s="11" t="s">
        <v>42</v>
      </c>
      <c r="AF11" s="12" t="s">
        <v>6</v>
      </c>
      <c r="AG11" s="18">
        <f>AD11+AD16-AD27</f>
        <v>0</v>
      </c>
      <c r="AH11" s="18">
        <f t="shared" si="5"/>
        <v>0</v>
      </c>
      <c r="AI11" s="18">
        <f t="shared" si="5"/>
        <v>0</v>
      </c>
      <c r="AJ11" s="18">
        <f t="shared" si="5"/>
        <v>0</v>
      </c>
      <c r="AK11" s="18">
        <f t="shared" si="5"/>
        <v>0</v>
      </c>
      <c r="AL11" s="18">
        <f t="shared" si="5"/>
        <v>0</v>
      </c>
      <c r="AM11" s="18">
        <f t="shared" si="5"/>
        <v>0</v>
      </c>
      <c r="AN11" s="18">
        <f t="shared" si="5"/>
        <v>0</v>
      </c>
      <c r="AO11" s="18">
        <f t="shared" si="5"/>
        <v>0</v>
      </c>
    </row>
    <row r="12" spans="1:41" s="10" customFormat="1" ht="31.5" customHeight="1">
      <c r="A12" s="8" t="s">
        <v>7</v>
      </c>
      <c r="B12" s="9" t="s">
        <v>47</v>
      </c>
      <c r="C12" s="26">
        <f>SUM(C13:C16)</f>
        <v>70000000</v>
      </c>
      <c r="D12" s="26"/>
      <c r="E12" s="18">
        <f>E13+E14+E16</f>
        <v>80610000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8" t="s">
        <v>7</v>
      </c>
      <c r="Q12" s="9" t="s">
        <v>47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8" t="s">
        <v>7</v>
      </c>
      <c r="AF12" s="9" t="s">
        <v>47</v>
      </c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10" customFormat="1" ht="15" customHeight="1">
      <c r="A13" s="11" t="s">
        <v>40</v>
      </c>
      <c r="B13" s="12" t="s">
        <v>8</v>
      </c>
      <c r="C13" s="26"/>
      <c r="D13" s="26"/>
      <c r="E13" s="18">
        <v>610000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1" t="s">
        <v>40</v>
      </c>
      <c r="Q13" s="12" t="s">
        <v>8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1" t="s">
        <v>40</v>
      </c>
      <c r="AF13" s="12" t="s">
        <v>8</v>
      </c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38" customFormat="1" ht="15" customHeight="1">
      <c r="A14" s="66" t="s">
        <v>41</v>
      </c>
      <c r="B14" s="67" t="s">
        <v>9</v>
      </c>
      <c r="C14" s="64">
        <v>70000000</v>
      </c>
      <c r="D14" s="35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66" t="s">
        <v>41</v>
      </c>
      <c r="Q14" s="67" t="s">
        <v>9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66" t="s">
        <v>41</v>
      </c>
      <c r="AF14" s="67" t="s">
        <v>9</v>
      </c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>
      <c r="A15" s="11"/>
      <c r="B15" s="11" t="s">
        <v>10</v>
      </c>
      <c r="C15" s="26">
        <v>0</v>
      </c>
      <c r="D15" s="2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1"/>
      <c r="Q15" s="11" t="s">
        <v>10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1"/>
      <c r="AF15" s="11" t="s">
        <v>10</v>
      </c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0" customFormat="1" ht="15" customHeight="1">
      <c r="A16" s="11" t="s">
        <v>42</v>
      </c>
      <c r="B16" s="12" t="s">
        <v>11</v>
      </c>
      <c r="C16" s="26">
        <v>0</v>
      </c>
      <c r="D16" s="26"/>
      <c r="E16" s="18">
        <v>80000000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1" t="s">
        <v>42</v>
      </c>
      <c r="Q16" s="12" t="s">
        <v>11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1" t="s">
        <v>42</v>
      </c>
      <c r="AF16" s="12" t="s">
        <v>11</v>
      </c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0" customFormat="1" ht="30" customHeight="1">
      <c r="A17" s="8" t="s">
        <v>12</v>
      </c>
      <c r="B17" s="9" t="s">
        <v>49</v>
      </c>
      <c r="C17" s="19">
        <f>C18+C19</f>
        <v>0</v>
      </c>
      <c r="D17" s="19"/>
      <c r="E17" s="19">
        <f aca="true" t="shared" si="6" ref="E17:T17">E18+E19</f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0</v>
      </c>
      <c r="N17" s="19">
        <f t="shared" si="6"/>
        <v>0</v>
      </c>
      <c r="O17" s="19">
        <f t="shared" si="6"/>
        <v>0</v>
      </c>
      <c r="P17" s="8" t="s">
        <v>12</v>
      </c>
      <c r="Q17" s="9" t="s">
        <v>49</v>
      </c>
      <c r="R17" s="19">
        <f t="shared" si="6"/>
        <v>0</v>
      </c>
      <c r="S17" s="19">
        <f t="shared" si="6"/>
        <v>0</v>
      </c>
      <c r="T17" s="19">
        <f t="shared" si="6"/>
        <v>0</v>
      </c>
      <c r="U17" s="19">
        <f aca="true" t="shared" si="7" ref="U17:AL17">U18+U19</f>
        <v>0</v>
      </c>
      <c r="V17" s="19">
        <f t="shared" si="7"/>
        <v>0</v>
      </c>
      <c r="W17" s="19">
        <f t="shared" si="7"/>
        <v>0</v>
      </c>
      <c r="X17" s="19">
        <f t="shared" si="7"/>
        <v>0</v>
      </c>
      <c r="Y17" s="19">
        <f t="shared" si="7"/>
        <v>0</v>
      </c>
      <c r="Z17" s="19">
        <f t="shared" si="7"/>
        <v>0</v>
      </c>
      <c r="AA17" s="19">
        <f t="shared" si="7"/>
        <v>0</v>
      </c>
      <c r="AB17" s="19">
        <f t="shared" si="7"/>
        <v>0</v>
      </c>
      <c r="AC17" s="19">
        <f t="shared" si="7"/>
        <v>0</v>
      </c>
      <c r="AD17" s="19">
        <f t="shared" si="7"/>
        <v>0</v>
      </c>
      <c r="AE17" s="8" t="s">
        <v>12</v>
      </c>
      <c r="AF17" s="9" t="s">
        <v>49</v>
      </c>
      <c r="AG17" s="19">
        <f t="shared" si="7"/>
        <v>0</v>
      </c>
      <c r="AH17" s="19">
        <f t="shared" si="7"/>
        <v>0</v>
      </c>
      <c r="AI17" s="19">
        <f t="shared" si="7"/>
        <v>0</v>
      </c>
      <c r="AJ17" s="19">
        <f t="shared" si="7"/>
        <v>0</v>
      </c>
      <c r="AK17" s="19">
        <f t="shared" si="7"/>
        <v>0</v>
      </c>
      <c r="AL17" s="19">
        <f t="shared" si="7"/>
        <v>0</v>
      </c>
      <c r="AM17" s="19">
        <f>AM18+AM19</f>
        <v>0</v>
      </c>
      <c r="AN17" s="19">
        <f>AN18+AN19</f>
        <v>0</v>
      </c>
      <c r="AO17" s="19">
        <f>AO18+AO19</f>
        <v>0</v>
      </c>
    </row>
    <row r="18" spans="1:41" s="10" customFormat="1" ht="15" customHeight="1">
      <c r="A18" s="11" t="s">
        <v>40</v>
      </c>
      <c r="B18" s="13" t="s">
        <v>13</v>
      </c>
      <c r="C18" s="40"/>
      <c r="D18" s="40"/>
      <c r="E18" s="20"/>
      <c r="F18" s="70"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11" t="s">
        <v>40</v>
      </c>
      <c r="Q18" s="13" t="s">
        <v>13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1" t="s">
        <v>40</v>
      </c>
      <c r="AF18" s="13" t="s">
        <v>13</v>
      </c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0" customFormat="1" ht="15" customHeight="1">
      <c r="A19" s="11" t="s">
        <v>41</v>
      </c>
      <c r="B19" s="13" t="s">
        <v>14</v>
      </c>
      <c r="C19" s="27">
        <v>0</v>
      </c>
      <c r="D19" s="2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1" t="s">
        <v>41</v>
      </c>
      <c r="Q19" s="13" t="s">
        <v>14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1" t="s">
        <v>41</v>
      </c>
      <c r="AF19" s="13" t="s">
        <v>14</v>
      </c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3" customFormat="1" ht="22.5" customHeight="1">
      <c r="A20" s="2">
        <v>2</v>
      </c>
      <c r="B20" s="23" t="s">
        <v>15</v>
      </c>
      <c r="C20" s="25">
        <f>C21+C32+C33</f>
        <v>28503500</v>
      </c>
      <c r="D20" s="25"/>
      <c r="E20" s="25">
        <f aca="true" t="shared" si="8" ref="E20:AO20">E21+E32+E33</f>
        <v>33363880</v>
      </c>
      <c r="F20" s="25">
        <f t="shared" si="8"/>
        <v>44509819.21</v>
      </c>
      <c r="G20" s="25">
        <f t="shared" si="8"/>
        <v>47391974.129999995</v>
      </c>
      <c r="H20" s="25">
        <f t="shared" si="8"/>
        <v>46011399.39</v>
      </c>
      <c r="I20" s="25">
        <f t="shared" si="8"/>
        <v>44628713.58</v>
      </c>
      <c r="J20" s="25">
        <f t="shared" si="8"/>
        <v>42717254.99</v>
      </c>
      <c r="K20" s="25">
        <f t="shared" si="8"/>
        <v>41270710.870000005</v>
      </c>
      <c r="L20" s="25">
        <f t="shared" si="8"/>
        <v>39829039.94</v>
      </c>
      <c r="M20" s="25">
        <f t="shared" si="8"/>
        <v>39380188.92</v>
      </c>
      <c r="N20" s="25">
        <f t="shared" si="8"/>
        <v>37990588.41</v>
      </c>
      <c r="O20" s="25">
        <f t="shared" si="8"/>
        <v>33359031.47</v>
      </c>
      <c r="P20" s="2">
        <v>2</v>
      </c>
      <c r="Q20" s="23" t="s">
        <v>15</v>
      </c>
      <c r="R20" s="25">
        <f t="shared" si="8"/>
        <v>25228538.3</v>
      </c>
      <c r="S20" s="25">
        <f t="shared" si="8"/>
        <v>25091327.89</v>
      </c>
      <c r="T20" s="25">
        <f t="shared" si="8"/>
        <v>19888227.69</v>
      </c>
      <c r="U20" s="25">
        <f t="shared" si="8"/>
        <v>18974693.87</v>
      </c>
      <c r="V20" s="25">
        <f t="shared" si="8"/>
        <v>18063402</v>
      </c>
      <c r="W20" s="25">
        <f t="shared" si="8"/>
        <v>16190607.5</v>
      </c>
      <c r="X20" s="25">
        <f t="shared" si="8"/>
        <v>3369482.17</v>
      </c>
      <c r="Y20" s="25">
        <f t="shared" si="8"/>
        <v>3144518.95</v>
      </c>
      <c r="Z20" s="25">
        <f t="shared" si="8"/>
        <v>3130326.15</v>
      </c>
      <c r="AA20" s="25">
        <f t="shared" si="8"/>
        <v>3176849.19</v>
      </c>
      <c r="AB20" s="25">
        <f t="shared" si="8"/>
        <v>3224500.79</v>
      </c>
      <c r="AC20" s="25">
        <f t="shared" si="8"/>
        <v>3272867.17</v>
      </c>
      <c r="AD20" s="25">
        <f t="shared" si="8"/>
        <v>3321958.98</v>
      </c>
      <c r="AE20" s="2">
        <v>2</v>
      </c>
      <c r="AF20" s="23" t="s">
        <v>15</v>
      </c>
      <c r="AG20" s="25">
        <f t="shared" si="8"/>
        <v>3371787.18</v>
      </c>
      <c r="AH20" s="25">
        <f t="shared" si="8"/>
        <v>3422362.75</v>
      </c>
      <c r="AI20" s="25">
        <f t="shared" si="8"/>
        <v>3473696.98</v>
      </c>
      <c r="AJ20" s="25">
        <f t="shared" si="8"/>
        <v>3525801.15</v>
      </c>
      <c r="AK20" s="25">
        <f t="shared" si="8"/>
        <v>3578686.92</v>
      </c>
      <c r="AL20" s="25">
        <f t="shared" si="8"/>
        <v>3632365.94</v>
      </c>
      <c r="AM20" s="25">
        <f t="shared" si="8"/>
        <v>3686850.13</v>
      </c>
      <c r="AN20" s="25">
        <f t="shared" si="8"/>
        <v>3491783.78</v>
      </c>
      <c r="AO20" s="25">
        <f t="shared" si="8"/>
        <v>2107366.85</v>
      </c>
    </row>
    <row r="21" spans="1:41" s="3" customFormat="1" ht="28.5" customHeight="1">
      <c r="A21" s="6" t="s">
        <v>16</v>
      </c>
      <c r="B21" s="7" t="s">
        <v>50</v>
      </c>
      <c r="C21" s="28">
        <f>C23+C27+C30</f>
        <v>17003500</v>
      </c>
      <c r="D21" s="28"/>
      <c r="E21" s="17">
        <f>E23+E27+E30</f>
        <v>18813880</v>
      </c>
      <c r="F21" s="17">
        <f aca="true" t="shared" si="9" ref="F21:AO21">F23+F27+F30</f>
        <v>25081950.85</v>
      </c>
      <c r="G21" s="17">
        <f t="shared" si="9"/>
        <v>29038532.52</v>
      </c>
      <c r="H21" s="17">
        <f t="shared" si="9"/>
        <v>28994593.71</v>
      </c>
      <c r="I21" s="17">
        <f t="shared" si="9"/>
        <v>28960075.89</v>
      </c>
      <c r="J21" s="17">
        <f t="shared" si="9"/>
        <v>28255417.92</v>
      </c>
      <c r="K21" s="17">
        <f t="shared" si="9"/>
        <v>28210388.34</v>
      </c>
      <c r="L21" s="17">
        <f t="shared" si="9"/>
        <v>28165151.14</v>
      </c>
      <c r="M21" s="17">
        <f t="shared" si="9"/>
        <v>29146469.45</v>
      </c>
      <c r="N21" s="17">
        <f t="shared" si="9"/>
        <v>29242608.41</v>
      </c>
      <c r="O21" s="17">
        <f t="shared" si="9"/>
        <v>26196641.47</v>
      </c>
      <c r="P21" s="6" t="s">
        <v>16</v>
      </c>
      <c r="Q21" s="7" t="s">
        <v>50</v>
      </c>
      <c r="R21" s="17">
        <f t="shared" si="9"/>
        <v>19501038.3</v>
      </c>
      <c r="S21" s="17">
        <f t="shared" si="9"/>
        <v>20456082.64</v>
      </c>
      <c r="T21" s="17">
        <f t="shared" si="9"/>
        <v>16411397.09</v>
      </c>
      <c r="U21" s="17">
        <f t="shared" si="9"/>
        <v>16367070.92</v>
      </c>
      <c r="V21" s="17">
        <f t="shared" si="9"/>
        <v>16323402</v>
      </c>
      <c r="W21" s="17">
        <f t="shared" si="9"/>
        <v>15321399.85</v>
      </c>
      <c r="X21" s="17">
        <f t="shared" si="9"/>
        <v>3369482.17</v>
      </c>
      <c r="Y21" s="17">
        <f t="shared" si="9"/>
        <v>3144518.95</v>
      </c>
      <c r="Z21" s="17">
        <f t="shared" si="9"/>
        <v>3130326.15</v>
      </c>
      <c r="AA21" s="17">
        <f t="shared" si="9"/>
        <v>3176849.19</v>
      </c>
      <c r="AB21" s="17">
        <f t="shared" si="9"/>
        <v>3224500.79</v>
      </c>
      <c r="AC21" s="17">
        <f t="shared" si="9"/>
        <v>3272867.17</v>
      </c>
      <c r="AD21" s="17">
        <f t="shared" si="9"/>
        <v>3321958.98</v>
      </c>
      <c r="AE21" s="6" t="s">
        <v>16</v>
      </c>
      <c r="AF21" s="7" t="s">
        <v>50</v>
      </c>
      <c r="AG21" s="17">
        <f t="shared" si="9"/>
        <v>3371787.18</v>
      </c>
      <c r="AH21" s="17">
        <f t="shared" si="9"/>
        <v>3422362.75</v>
      </c>
      <c r="AI21" s="17">
        <f t="shared" si="9"/>
        <v>3473696.98</v>
      </c>
      <c r="AJ21" s="17">
        <f t="shared" si="9"/>
        <v>3525801.15</v>
      </c>
      <c r="AK21" s="17">
        <f t="shared" si="9"/>
        <v>3578686.92</v>
      </c>
      <c r="AL21" s="17">
        <f t="shared" si="9"/>
        <v>3632365.94</v>
      </c>
      <c r="AM21" s="17">
        <f t="shared" si="9"/>
        <v>3686850.13</v>
      </c>
      <c r="AN21" s="17">
        <f t="shared" si="9"/>
        <v>3491783.78</v>
      </c>
      <c r="AO21" s="17">
        <f t="shared" si="9"/>
        <v>2107366.85</v>
      </c>
    </row>
    <row r="22" spans="1:41" s="58" customFormat="1" ht="28.5" customHeight="1" hidden="1">
      <c r="A22" s="54"/>
      <c r="B22" s="55" t="s">
        <v>54</v>
      </c>
      <c r="C22" s="56">
        <f>C23+C27</f>
        <v>16420000</v>
      </c>
      <c r="D22" s="56"/>
      <c r="E22" s="57">
        <f>E23+E27</f>
        <v>14530880</v>
      </c>
      <c r="F22" s="57">
        <f aca="true" t="shared" si="10" ref="F22:AO22">F23+F27</f>
        <v>20130880</v>
      </c>
      <c r="G22" s="57">
        <f t="shared" si="10"/>
        <v>24130880</v>
      </c>
      <c r="H22" s="57">
        <f t="shared" si="10"/>
        <v>24130880</v>
      </c>
      <c r="I22" s="57">
        <f t="shared" si="10"/>
        <v>24140880</v>
      </c>
      <c r="J22" s="57">
        <f t="shared" si="10"/>
        <v>23480880</v>
      </c>
      <c r="K22" s="57">
        <f t="shared" si="10"/>
        <v>23480880</v>
      </c>
      <c r="L22" s="57">
        <f t="shared" si="10"/>
        <v>23480880</v>
      </c>
      <c r="M22" s="57">
        <f t="shared" si="10"/>
        <v>24480887.82</v>
      </c>
      <c r="N22" s="57">
        <f t="shared" si="10"/>
        <v>24650000</v>
      </c>
      <c r="O22" s="57">
        <f t="shared" si="10"/>
        <v>21650000</v>
      </c>
      <c r="P22" s="54"/>
      <c r="Q22" s="55" t="s">
        <v>54</v>
      </c>
      <c r="R22" s="57">
        <f t="shared" si="10"/>
        <v>15000000</v>
      </c>
      <c r="S22" s="57">
        <f t="shared" si="10"/>
        <v>16000000</v>
      </c>
      <c r="T22" s="57">
        <f t="shared" si="10"/>
        <v>12000000</v>
      </c>
      <c r="U22" s="57">
        <f t="shared" si="10"/>
        <v>12000000</v>
      </c>
      <c r="V22" s="57">
        <f t="shared" si="10"/>
        <v>12000000</v>
      </c>
      <c r="W22" s="57">
        <f t="shared" si="10"/>
        <v>12000000</v>
      </c>
      <c r="X22" s="57">
        <f t="shared" si="10"/>
        <v>0</v>
      </c>
      <c r="Y22" s="57">
        <f t="shared" si="10"/>
        <v>0</v>
      </c>
      <c r="Z22" s="57">
        <f t="shared" si="10"/>
        <v>0</v>
      </c>
      <c r="AA22" s="57">
        <f t="shared" si="10"/>
        <v>0</v>
      </c>
      <c r="AB22" s="57">
        <f t="shared" si="10"/>
        <v>0</v>
      </c>
      <c r="AC22" s="57">
        <f t="shared" si="10"/>
        <v>0</v>
      </c>
      <c r="AD22" s="57">
        <f t="shared" si="10"/>
        <v>0</v>
      </c>
      <c r="AE22" s="54"/>
      <c r="AF22" s="55" t="s">
        <v>54</v>
      </c>
      <c r="AG22" s="57">
        <f t="shared" si="10"/>
        <v>0</v>
      </c>
      <c r="AH22" s="57">
        <f t="shared" si="10"/>
        <v>0</v>
      </c>
      <c r="AI22" s="57">
        <f t="shared" si="10"/>
        <v>0</v>
      </c>
      <c r="AJ22" s="57">
        <f t="shared" si="10"/>
        <v>0</v>
      </c>
      <c r="AK22" s="57">
        <f t="shared" si="10"/>
        <v>0</v>
      </c>
      <c r="AL22" s="57">
        <f t="shared" si="10"/>
        <v>0</v>
      </c>
      <c r="AM22" s="57">
        <f t="shared" si="10"/>
        <v>0</v>
      </c>
      <c r="AN22" s="57">
        <f t="shared" si="10"/>
        <v>0</v>
      </c>
      <c r="AO22" s="57">
        <f t="shared" si="10"/>
        <v>0</v>
      </c>
    </row>
    <row r="23" spans="1:41" s="10" customFormat="1" ht="15" customHeight="1">
      <c r="A23" s="11" t="s">
        <v>40</v>
      </c>
      <c r="B23" s="12" t="s">
        <v>17</v>
      </c>
      <c r="C23" s="28">
        <v>8420000</v>
      </c>
      <c r="D23" s="28"/>
      <c r="E23" s="18">
        <f>E24+E25+E26</f>
        <v>10530880</v>
      </c>
      <c r="F23" s="18">
        <f aca="true" t="shared" si="11" ref="F23:AO23">F24+F25+F26</f>
        <v>16130880</v>
      </c>
      <c r="G23" s="18">
        <f t="shared" si="11"/>
        <v>20130880</v>
      </c>
      <c r="H23" s="18">
        <f t="shared" si="11"/>
        <v>20130880</v>
      </c>
      <c r="I23" s="18">
        <f t="shared" si="11"/>
        <v>20140880</v>
      </c>
      <c r="J23" s="18">
        <f t="shared" si="11"/>
        <v>15480880</v>
      </c>
      <c r="K23" s="18">
        <f t="shared" si="11"/>
        <v>15480880</v>
      </c>
      <c r="L23" s="18">
        <f t="shared" si="11"/>
        <v>15480880</v>
      </c>
      <c r="M23" s="18">
        <f t="shared" si="11"/>
        <v>16480887.82</v>
      </c>
      <c r="N23" s="18">
        <f t="shared" si="11"/>
        <v>12650000</v>
      </c>
      <c r="O23" s="18">
        <f t="shared" si="11"/>
        <v>13650000</v>
      </c>
      <c r="P23" s="11" t="s">
        <v>40</v>
      </c>
      <c r="Q23" s="12" t="s">
        <v>17</v>
      </c>
      <c r="R23" s="18">
        <f t="shared" si="11"/>
        <v>7000000</v>
      </c>
      <c r="S23" s="18">
        <f t="shared" si="11"/>
        <v>8000000</v>
      </c>
      <c r="T23" s="18">
        <f t="shared" si="11"/>
        <v>4000000</v>
      </c>
      <c r="U23" s="18">
        <f t="shared" si="11"/>
        <v>4000000</v>
      </c>
      <c r="V23" s="18">
        <f t="shared" si="11"/>
        <v>4000000</v>
      </c>
      <c r="W23" s="18">
        <f t="shared" si="11"/>
        <v>4000000</v>
      </c>
      <c r="X23" s="18">
        <f t="shared" si="11"/>
        <v>0</v>
      </c>
      <c r="Y23" s="18">
        <f t="shared" si="11"/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 t="shared" si="11"/>
        <v>0</v>
      </c>
      <c r="AD23" s="18">
        <f t="shared" si="11"/>
        <v>0</v>
      </c>
      <c r="AE23" s="11" t="s">
        <v>40</v>
      </c>
      <c r="AF23" s="12" t="s">
        <v>17</v>
      </c>
      <c r="AG23" s="18">
        <f t="shared" si="11"/>
        <v>0</v>
      </c>
      <c r="AH23" s="18">
        <f t="shared" si="11"/>
        <v>0</v>
      </c>
      <c r="AI23" s="18">
        <f t="shared" si="11"/>
        <v>0</v>
      </c>
      <c r="AJ23" s="18">
        <f t="shared" si="11"/>
        <v>0</v>
      </c>
      <c r="AK23" s="18">
        <f t="shared" si="11"/>
        <v>0</v>
      </c>
      <c r="AL23" s="18">
        <f t="shared" si="11"/>
        <v>0</v>
      </c>
      <c r="AM23" s="18">
        <f t="shared" si="11"/>
        <v>0</v>
      </c>
      <c r="AN23" s="18">
        <f t="shared" si="11"/>
        <v>0</v>
      </c>
      <c r="AO23" s="18">
        <f t="shared" si="11"/>
        <v>0</v>
      </c>
    </row>
    <row r="24" spans="1:41" s="34" customFormat="1" ht="15" customHeight="1" hidden="1">
      <c r="A24" s="30"/>
      <c r="B24" s="31" t="s">
        <v>39</v>
      </c>
      <c r="C24" s="32"/>
      <c r="D24" s="32"/>
      <c r="E24" s="33">
        <v>210880</v>
      </c>
      <c r="F24" s="33">
        <v>210880</v>
      </c>
      <c r="G24" s="33">
        <v>210880</v>
      </c>
      <c r="H24" s="33">
        <v>210880</v>
      </c>
      <c r="I24" s="33">
        <v>210880</v>
      </c>
      <c r="J24" s="33">
        <v>210880</v>
      </c>
      <c r="K24" s="33">
        <v>210880</v>
      </c>
      <c r="L24" s="33">
        <v>210880</v>
      </c>
      <c r="M24" s="33">
        <v>210887.82</v>
      </c>
      <c r="N24" s="33"/>
      <c r="O24" s="33"/>
      <c r="P24" s="30"/>
      <c r="Q24" s="31" t="s">
        <v>39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0"/>
      <c r="AF24" s="31" t="s">
        <v>39</v>
      </c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s="34" customFormat="1" ht="15" customHeight="1" hidden="1">
      <c r="A25" s="30"/>
      <c r="B25" s="31" t="s">
        <v>56</v>
      </c>
      <c r="C25" s="32"/>
      <c r="D25" s="32"/>
      <c r="E25" s="33">
        <v>10320000</v>
      </c>
      <c r="F25" s="33">
        <v>15770000</v>
      </c>
      <c r="G25" s="33">
        <v>19770000</v>
      </c>
      <c r="H25" s="33">
        <v>19770000</v>
      </c>
      <c r="I25" s="33">
        <v>19770000</v>
      </c>
      <c r="J25" s="33">
        <v>15270000</v>
      </c>
      <c r="K25" s="33">
        <v>15270000</v>
      </c>
      <c r="L25" s="33">
        <v>15270000</v>
      </c>
      <c r="M25" s="33">
        <v>16270000</v>
      </c>
      <c r="N25" s="33">
        <v>12650000</v>
      </c>
      <c r="O25" s="33">
        <v>13650000</v>
      </c>
      <c r="P25" s="30"/>
      <c r="Q25" s="31" t="s">
        <v>56</v>
      </c>
      <c r="R25" s="33">
        <v>7000000</v>
      </c>
      <c r="S25" s="33">
        <v>8000000</v>
      </c>
      <c r="T25" s="33">
        <v>4000000</v>
      </c>
      <c r="U25" s="33">
        <v>4000000</v>
      </c>
      <c r="V25" s="33">
        <v>4000000</v>
      </c>
      <c r="W25" s="33">
        <v>4000000</v>
      </c>
      <c r="X25" s="33"/>
      <c r="Y25" s="33"/>
      <c r="Z25" s="33"/>
      <c r="AA25" s="33"/>
      <c r="AB25" s="33"/>
      <c r="AC25" s="33"/>
      <c r="AD25" s="33"/>
      <c r="AE25" s="30"/>
      <c r="AF25" s="31" t="s">
        <v>56</v>
      </c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s="34" customFormat="1" ht="15" customHeight="1" hidden="1">
      <c r="A26" s="30"/>
      <c r="B26" s="31" t="s">
        <v>46</v>
      </c>
      <c r="C26" s="32"/>
      <c r="D26" s="32"/>
      <c r="E26" s="33"/>
      <c r="F26" s="33">
        <v>150000</v>
      </c>
      <c r="G26" s="33">
        <v>150000</v>
      </c>
      <c r="H26" s="33">
        <v>150000</v>
      </c>
      <c r="I26" s="33">
        <v>160000</v>
      </c>
      <c r="J26" s="33"/>
      <c r="K26" s="33"/>
      <c r="L26" s="33"/>
      <c r="M26" s="33"/>
      <c r="N26" s="33"/>
      <c r="O26" s="33"/>
      <c r="P26" s="30"/>
      <c r="Q26" s="31" t="s">
        <v>46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0"/>
      <c r="AF26" s="31" t="s">
        <v>46</v>
      </c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s="10" customFormat="1" ht="15" customHeight="1">
      <c r="A27" s="11" t="s">
        <v>41</v>
      </c>
      <c r="B27" s="12" t="s">
        <v>18</v>
      </c>
      <c r="C27" s="28">
        <v>8000000</v>
      </c>
      <c r="D27" s="28"/>
      <c r="E27" s="18">
        <f>E28+E29</f>
        <v>4000000</v>
      </c>
      <c r="F27" s="18">
        <f aca="true" t="shared" si="12" ref="F27:V27">F28+F29</f>
        <v>4000000</v>
      </c>
      <c r="G27" s="18">
        <f t="shared" si="12"/>
        <v>4000000</v>
      </c>
      <c r="H27" s="18">
        <f t="shared" si="12"/>
        <v>4000000</v>
      </c>
      <c r="I27" s="18">
        <f t="shared" si="12"/>
        <v>4000000</v>
      </c>
      <c r="J27" s="18">
        <f t="shared" si="12"/>
        <v>8000000</v>
      </c>
      <c r="K27" s="18">
        <f t="shared" si="12"/>
        <v>8000000</v>
      </c>
      <c r="L27" s="18">
        <f t="shared" si="12"/>
        <v>8000000</v>
      </c>
      <c r="M27" s="18">
        <f t="shared" si="12"/>
        <v>8000000</v>
      </c>
      <c r="N27" s="18">
        <f t="shared" si="12"/>
        <v>12000000</v>
      </c>
      <c r="O27" s="18">
        <f t="shared" si="12"/>
        <v>8000000</v>
      </c>
      <c r="P27" s="11" t="s">
        <v>41</v>
      </c>
      <c r="Q27" s="12" t="s">
        <v>18</v>
      </c>
      <c r="R27" s="18">
        <f t="shared" si="12"/>
        <v>8000000</v>
      </c>
      <c r="S27" s="18">
        <f t="shared" si="12"/>
        <v>8000000</v>
      </c>
      <c r="T27" s="18">
        <f t="shared" si="12"/>
        <v>8000000</v>
      </c>
      <c r="U27" s="18">
        <f t="shared" si="12"/>
        <v>8000000</v>
      </c>
      <c r="V27" s="18">
        <f t="shared" si="12"/>
        <v>8000000</v>
      </c>
      <c r="W27" s="18">
        <f aca="true" t="shared" si="13" ref="W27:AO27">W28+W29</f>
        <v>8000000</v>
      </c>
      <c r="X27" s="18">
        <f t="shared" si="13"/>
        <v>0</v>
      </c>
      <c r="Y27" s="18">
        <f t="shared" si="13"/>
        <v>0</v>
      </c>
      <c r="Z27" s="18">
        <f t="shared" si="13"/>
        <v>0</v>
      </c>
      <c r="AA27" s="18">
        <f t="shared" si="13"/>
        <v>0</v>
      </c>
      <c r="AB27" s="18">
        <f t="shared" si="13"/>
        <v>0</v>
      </c>
      <c r="AC27" s="18">
        <f t="shared" si="13"/>
        <v>0</v>
      </c>
      <c r="AD27" s="18">
        <f t="shared" si="13"/>
        <v>0</v>
      </c>
      <c r="AE27" s="11" t="s">
        <v>41</v>
      </c>
      <c r="AF27" s="12" t="s">
        <v>18</v>
      </c>
      <c r="AG27" s="18">
        <f t="shared" si="13"/>
        <v>0</v>
      </c>
      <c r="AH27" s="18">
        <f t="shared" si="13"/>
        <v>0</v>
      </c>
      <c r="AI27" s="18">
        <f t="shared" si="13"/>
        <v>0</v>
      </c>
      <c r="AJ27" s="18">
        <f t="shared" si="13"/>
        <v>0</v>
      </c>
      <c r="AK27" s="18">
        <f t="shared" si="13"/>
        <v>0</v>
      </c>
      <c r="AL27" s="18">
        <f t="shared" si="13"/>
        <v>0</v>
      </c>
      <c r="AM27" s="18">
        <f t="shared" si="13"/>
        <v>0</v>
      </c>
      <c r="AN27" s="18">
        <f t="shared" si="13"/>
        <v>0</v>
      </c>
      <c r="AO27" s="18">
        <f t="shared" si="13"/>
        <v>0</v>
      </c>
    </row>
    <row r="28" spans="1:41" s="10" customFormat="1" ht="15" customHeight="1" hidden="1">
      <c r="A28" s="11"/>
      <c r="B28" s="60" t="s">
        <v>38</v>
      </c>
      <c r="C28" s="61"/>
      <c r="D28" s="61"/>
      <c r="E28" s="59">
        <v>4000000</v>
      </c>
      <c r="F28" s="59">
        <v>4000000</v>
      </c>
      <c r="G28" s="59">
        <v>4000000</v>
      </c>
      <c r="H28" s="59">
        <v>4000000</v>
      </c>
      <c r="I28" s="59">
        <v>4000000</v>
      </c>
      <c r="J28" s="59">
        <v>4000000</v>
      </c>
      <c r="K28" s="59">
        <v>4000000</v>
      </c>
      <c r="L28" s="59">
        <v>4000000</v>
      </c>
      <c r="M28" s="59">
        <v>4000000</v>
      </c>
      <c r="N28" s="59">
        <v>4000000</v>
      </c>
      <c r="O28" s="59"/>
      <c r="P28" s="11"/>
      <c r="Q28" s="60" t="s">
        <v>38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1"/>
      <c r="AF28" s="60" t="s">
        <v>38</v>
      </c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s="10" customFormat="1" ht="15" customHeight="1" hidden="1">
      <c r="A29" s="11"/>
      <c r="B29" s="60" t="s">
        <v>55</v>
      </c>
      <c r="C29" s="61"/>
      <c r="D29" s="61"/>
      <c r="E29" s="59"/>
      <c r="F29" s="59"/>
      <c r="G29" s="59"/>
      <c r="H29" s="59"/>
      <c r="I29" s="59"/>
      <c r="J29" s="59">
        <v>4000000</v>
      </c>
      <c r="K29" s="59">
        <v>4000000</v>
      </c>
      <c r="L29" s="59">
        <v>4000000</v>
      </c>
      <c r="M29" s="59">
        <v>4000000</v>
      </c>
      <c r="N29" s="59">
        <v>8000000</v>
      </c>
      <c r="O29" s="59">
        <v>8000000</v>
      </c>
      <c r="P29" s="11"/>
      <c r="Q29" s="60" t="s">
        <v>55</v>
      </c>
      <c r="R29" s="59">
        <v>8000000</v>
      </c>
      <c r="S29" s="59">
        <v>8000000</v>
      </c>
      <c r="T29" s="59">
        <v>8000000</v>
      </c>
      <c r="U29" s="59">
        <v>8000000</v>
      </c>
      <c r="V29" s="59">
        <v>8000000</v>
      </c>
      <c r="W29" s="59">
        <v>8000000</v>
      </c>
      <c r="X29" s="59"/>
      <c r="Y29" s="59"/>
      <c r="Z29" s="59"/>
      <c r="AA29" s="59"/>
      <c r="AB29" s="59"/>
      <c r="AC29" s="59"/>
      <c r="AD29" s="59"/>
      <c r="AE29" s="11"/>
      <c r="AF29" s="60" t="s">
        <v>55</v>
      </c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s="10" customFormat="1" ht="15" customHeight="1">
      <c r="A30" s="11" t="s">
        <v>42</v>
      </c>
      <c r="B30" s="12" t="s">
        <v>19</v>
      </c>
      <c r="C30" s="28">
        <v>583500</v>
      </c>
      <c r="D30" s="28"/>
      <c r="E30" s="68">
        <v>4283000</v>
      </c>
      <c r="F30" s="18">
        <v>4951070.85</v>
      </c>
      <c r="G30" s="18">
        <v>4907652.52</v>
      </c>
      <c r="H30" s="18">
        <v>4863713.71</v>
      </c>
      <c r="I30" s="18">
        <v>4819195.89</v>
      </c>
      <c r="J30" s="18">
        <v>4774537.92</v>
      </c>
      <c r="K30" s="18">
        <v>4729508.34</v>
      </c>
      <c r="L30" s="18">
        <v>4684271.14</v>
      </c>
      <c r="M30" s="18">
        <v>4665581.63</v>
      </c>
      <c r="N30" s="18">
        <v>4592608.41</v>
      </c>
      <c r="O30" s="18">
        <v>4546641.47</v>
      </c>
      <c r="P30" s="11" t="s">
        <v>42</v>
      </c>
      <c r="Q30" s="12" t="s">
        <v>19</v>
      </c>
      <c r="R30" s="18">
        <v>4501038.3</v>
      </c>
      <c r="S30" s="18">
        <v>4456082.64</v>
      </c>
      <c r="T30" s="18">
        <v>4411397.09</v>
      </c>
      <c r="U30" s="18">
        <v>4367070.92</v>
      </c>
      <c r="V30" s="18">
        <v>4323402</v>
      </c>
      <c r="W30" s="18">
        <v>3321399.85</v>
      </c>
      <c r="X30" s="18">
        <v>3369482.17</v>
      </c>
      <c r="Y30" s="18">
        <v>3144518.95</v>
      </c>
      <c r="Z30" s="18">
        <v>3130326.15</v>
      </c>
      <c r="AA30" s="18">
        <v>3176849.19</v>
      </c>
      <c r="AB30" s="18">
        <v>3224500.79</v>
      </c>
      <c r="AC30" s="18">
        <v>3272867.17</v>
      </c>
      <c r="AD30" s="18">
        <v>3321958.98</v>
      </c>
      <c r="AE30" s="11" t="s">
        <v>42</v>
      </c>
      <c r="AF30" s="12" t="s">
        <v>19</v>
      </c>
      <c r="AG30" s="18">
        <v>3371787.18</v>
      </c>
      <c r="AH30" s="18">
        <v>3422362.75</v>
      </c>
      <c r="AI30" s="18">
        <v>3473696.98</v>
      </c>
      <c r="AJ30" s="18">
        <v>3525801.15</v>
      </c>
      <c r="AK30" s="18">
        <v>3578686.92</v>
      </c>
      <c r="AL30" s="18">
        <v>3632365.94</v>
      </c>
      <c r="AM30" s="18">
        <v>3686850.13</v>
      </c>
      <c r="AN30" s="18">
        <v>3491783.78</v>
      </c>
      <c r="AO30" s="18">
        <v>2107366.85</v>
      </c>
    </row>
    <row r="31" spans="1:41" s="52" customFormat="1" ht="15" customHeight="1" hidden="1">
      <c r="A31" s="48" t="s">
        <v>52</v>
      </c>
      <c r="B31" s="49" t="s">
        <v>53</v>
      </c>
      <c r="C31" s="50"/>
      <c r="D31" s="50"/>
      <c r="E31" s="51">
        <v>16302.3</v>
      </c>
      <c r="F31" s="51">
        <v>173227.11</v>
      </c>
      <c r="G31" s="51">
        <v>176464.17</v>
      </c>
      <c r="H31" s="51">
        <v>179673.44</v>
      </c>
      <c r="I31" s="51">
        <v>182851.5</v>
      </c>
      <c r="J31" s="51">
        <v>185994.16</v>
      </c>
      <c r="K31" s="51">
        <v>189097.89</v>
      </c>
      <c r="L31" s="51">
        <v>192158.77</v>
      </c>
      <c r="M31" s="51">
        <v>195173.23</v>
      </c>
      <c r="N31" s="51">
        <v>198137.35</v>
      </c>
      <c r="O31" s="51">
        <v>201047.13</v>
      </c>
      <c r="P31" s="48" t="s">
        <v>52</v>
      </c>
      <c r="Q31" s="49" t="s">
        <v>53</v>
      </c>
      <c r="R31" s="51">
        <v>203899.34</v>
      </c>
      <c r="S31" s="51">
        <v>206754.12</v>
      </c>
      <c r="T31" s="51">
        <v>209648.87</v>
      </c>
      <c r="U31" s="51">
        <v>212518.37</v>
      </c>
      <c r="V31" s="51">
        <v>215387.32</v>
      </c>
      <c r="W31" s="51">
        <v>218295.01</v>
      </c>
      <c r="X31" s="51">
        <v>221241.95</v>
      </c>
      <c r="Y31" s="51">
        <v>224298.08</v>
      </c>
      <c r="Z31" s="51">
        <v>227438.46</v>
      </c>
      <c r="AA31" s="51">
        <v>230622.8</v>
      </c>
      <c r="AB31" s="51">
        <v>233995.92</v>
      </c>
      <c r="AC31" s="51">
        <v>237505.78</v>
      </c>
      <c r="AD31" s="51">
        <v>241068.28</v>
      </c>
      <c r="AE31" s="48" t="s">
        <v>52</v>
      </c>
      <c r="AF31" s="49" t="s">
        <v>53</v>
      </c>
      <c r="AG31" s="51">
        <v>244684.22</v>
      </c>
      <c r="AH31" s="51">
        <v>248354.39</v>
      </c>
      <c r="AI31" s="51">
        <v>252079.61</v>
      </c>
      <c r="AJ31" s="51">
        <v>255860.72</v>
      </c>
      <c r="AK31" s="51">
        <v>259698.54</v>
      </c>
      <c r="AL31" s="51">
        <v>263593.92</v>
      </c>
      <c r="AM31" s="51">
        <v>267547.74</v>
      </c>
      <c r="AN31" s="51">
        <v>271560.85</v>
      </c>
      <c r="AO31" s="51">
        <f>273242.65+79.42</f>
        <v>273322.07</v>
      </c>
    </row>
    <row r="32" spans="1:41" s="10" customFormat="1" ht="30.75" customHeight="1">
      <c r="A32" s="8" t="s">
        <v>20</v>
      </c>
      <c r="B32" s="9" t="s">
        <v>51</v>
      </c>
      <c r="C32" s="28">
        <v>0</v>
      </c>
      <c r="D32" s="28"/>
      <c r="E32" s="69">
        <v>0</v>
      </c>
      <c r="F32" s="19">
        <f>F18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8" t="s">
        <v>20</v>
      </c>
      <c r="Q32" s="9" t="s">
        <v>51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8" t="s">
        <v>20</v>
      </c>
      <c r="AF32" s="9" t="s">
        <v>51</v>
      </c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4" customFormat="1" ht="14.25" customHeight="1">
      <c r="A33" s="8" t="s">
        <v>21</v>
      </c>
      <c r="B33" s="9" t="s">
        <v>22</v>
      </c>
      <c r="C33" s="28">
        <v>11500000</v>
      </c>
      <c r="D33" s="28"/>
      <c r="E33" s="21">
        <f>14600000-50000</f>
        <v>14550000</v>
      </c>
      <c r="F33" s="21">
        <f>13627868.36+5800000</f>
        <v>19427868.36</v>
      </c>
      <c r="G33" s="21">
        <f>12553441.61+5800000</f>
        <v>18353441.61</v>
      </c>
      <c r="H33" s="21">
        <f>11216805.68+5800000</f>
        <v>17016805.68</v>
      </c>
      <c r="I33" s="21">
        <f>9868637.69+5800000</f>
        <v>15668637.69</v>
      </c>
      <c r="J33" s="21">
        <f>8661837.07+5800000</f>
        <v>14461837.07</v>
      </c>
      <c r="K33" s="21">
        <f>7550322.53+5510000</f>
        <v>13060322.530000001</v>
      </c>
      <c r="L33" s="21">
        <f>6443888.8+5220000</f>
        <v>11663888.8</v>
      </c>
      <c r="M33" s="21">
        <f>5303719.47+4930000</f>
        <v>10233719.469999999</v>
      </c>
      <c r="N33" s="21">
        <f>4107980+4640000</f>
        <v>8747980</v>
      </c>
      <c r="O33" s="21">
        <f>3102390+4060000</f>
        <v>7162390</v>
      </c>
      <c r="P33" s="8" t="s">
        <v>21</v>
      </c>
      <c r="Q33" s="9" t="s">
        <v>22</v>
      </c>
      <c r="R33" s="21">
        <f>2247500+3480000</f>
        <v>5727500</v>
      </c>
      <c r="S33" s="21">
        <f>1735245.25+2900000</f>
        <v>4635245.25</v>
      </c>
      <c r="T33" s="46">
        <f>1156830.6+2320000</f>
        <v>3476830.6</v>
      </c>
      <c r="U33" s="21">
        <f>867622.95+1740000</f>
        <v>2607622.95</v>
      </c>
      <c r="V33" s="21">
        <f>580000+1160000</f>
        <v>1740000</v>
      </c>
      <c r="W33" s="21">
        <f>289207.65+580000</f>
        <v>869207.65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8" t="s">
        <v>21</v>
      </c>
      <c r="AF33" s="9" t="s">
        <v>22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</row>
    <row r="34" spans="1:41" s="3" customFormat="1" ht="22.5" customHeight="1">
      <c r="A34" s="6" t="s">
        <v>23</v>
      </c>
      <c r="B34" s="7" t="s">
        <v>24</v>
      </c>
      <c r="C34" s="26">
        <v>579674513.41</v>
      </c>
      <c r="D34" s="26"/>
      <c r="E34" s="17">
        <v>599881298.94</v>
      </c>
      <c r="F34" s="17">
        <f>(E34-25715904)*1.02</f>
        <v>585648702.8388001</v>
      </c>
      <c r="G34" s="17">
        <f>F34*1.02</f>
        <v>597361676.8955761</v>
      </c>
      <c r="H34" s="17">
        <f aca="true" t="shared" si="14" ref="H34:AL34">G34*1.02</f>
        <v>609308910.4334877</v>
      </c>
      <c r="I34" s="17">
        <f t="shared" si="14"/>
        <v>621495088.6421574</v>
      </c>
      <c r="J34" s="17">
        <f t="shared" si="14"/>
        <v>633924990.4150006</v>
      </c>
      <c r="K34" s="17">
        <f t="shared" si="14"/>
        <v>646603490.2233006</v>
      </c>
      <c r="L34" s="17">
        <f t="shared" si="14"/>
        <v>659535560.0277666</v>
      </c>
      <c r="M34" s="17">
        <f t="shared" si="14"/>
        <v>672726271.2283219</v>
      </c>
      <c r="N34" s="17">
        <f t="shared" si="14"/>
        <v>686180796.6528884</v>
      </c>
      <c r="O34" s="17">
        <f t="shared" si="14"/>
        <v>699904412.5859462</v>
      </c>
      <c r="P34" s="6" t="s">
        <v>23</v>
      </c>
      <c r="Q34" s="7" t="s">
        <v>24</v>
      </c>
      <c r="R34" s="17">
        <f>O34*1.02</f>
        <v>713902500.8376651</v>
      </c>
      <c r="S34" s="17">
        <f t="shared" si="14"/>
        <v>728180550.8544184</v>
      </c>
      <c r="T34" s="17">
        <f t="shared" si="14"/>
        <v>742744161.8715068</v>
      </c>
      <c r="U34" s="17">
        <f t="shared" si="14"/>
        <v>757599045.1089369</v>
      </c>
      <c r="V34" s="17">
        <f t="shared" si="14"/>
        <v>772751026.0111157</v>
      </c>
      <c r="W34" s="17">
        <f t="shared" si="14"/>
        <v>788206046.531338</v>
      </c>
      <c r="X34" s="17">
        <f t="shared" si="14"/>
        <v>803970167.4619647</v>
      </c>
      <c r="Y34" s="17">
        <f t="shared" si="14"/>
        <v>820049570.8112041</v>
      </c>
      <c r="Z34" s="17">
        <f t="shared" si="14"/>
        <v>836450562.2274282</v>
      </c>
      <c r="AA34" s="17">
        <f t="shared" si="14"/>
        <v>853179573.4719768</v>
      </c>
      <c r="AB34" s="17">
        <f t="shared" si="14"/>
        <v>870243164.9414163</v>
      </c>
      <c r="AC34" s="17">
        <f t="shared" si="14"/>
        <v>887648028.2402446</v>
      </c>
      <c r="AD34" s="17">
        <f t="shared" si="14"/>
        <v>905400988.8050495</v>
      </c>
      <c r="AE34" s="6" t="s">
        <v>23</v>
      </c>
      <c r="AF34" s="7" t="s">
        <v>24</v>
      </c>
      <c r="AG34" s="17">
        <f>AD34*1.02</f>
        <v>923509008.5811505</v>
      </c>
      <c r="AH34" s="17">
        <f t="shared" si="14"/>
        <v>941979188.7527735</v>
      </c>
      <c r="AI34" s="17">
        <f t="shared" si="14"/>
        <v>960818772.527829</v>
      </c>
      <c r="AJ34" s="17">
        <f t="shared" si="14"/>
        <v>980035147.9783857</v>
      </c>
      <c r="AK34" s="17">
        <f t="shared" si="14"/>
        <v>999635850.9379535</v>
      </c>
      <c r="AL34" s="17">
        <f t="shared" si="14"/>
        <v>1019628567.9567126</v>
      </c>
      <c r="AM34" s="17">
        <f>AL34*1.02</f>
        <v>1040021139.3158469</v>
      </c>
      <c r="AN34" s="17">
        <f>AM34*1.02</f>
        <v>1060821562.1021639</v>
      </c>
      <c r="AO34" s="17">
        <f>AN34*1.02</f>
        <v>1082037993.3442073</v>
      </c>
    </row>
    <row r="35" spans="1:41" s="36" customFormat="1" ht="22.5" customHeight="1">
      <c r="A35" s="62" t="s">
        <v>25</v>
      </c>
      <c r="B35" s="63" t="s">
        <v>26</v>
      </c>
      <c r="C35" s="64">
        <v>653813055.12</v>
      </c>
      <c r="D35" s="64"/>
      <c r="E35" s="65">
        <v>680061518.9</v>
      </c>
      <c r="F35" s="65">
        <f aca="true" t="shared" si="15" ref="F35:AO35">F34-F23-F27</f>
        <v>565517822.8388001</v>
      </c>
      <c r="G35" s="65">
        <f t="shared" si="15"/>
        <v>573230796.8955761</v>
      </c>
      <c r="H35" s="65">
        <f t="shared" si="15"/>
        <v>585178030.4334877</v>
      </c>
      <c r="I35" s="65">
        <f t="shared" si="15"/>
        <v>597354208.6421574</v>
      </c>
      <c r="J35" s="65">
        <f t="shared" si="15"/>
        <v>610444110.4150006</v>
      </c>
      <c r="K35" s="65">
        <f t="shared" si="15"/>
        <v>623122610.2233006</v>
      </c>
      <c r="L35" s="65">
        <f t="shared" si="15"/>
        <v>636054680.0277666</v>
      </c>
      <c r="M35" s="65">
        <f t="shared" si="15"/>
        <v>648245383.4083219</v>
      </c>
      <c r="N35" s="65">
        <f t="shared" si="15"/>
        <v>661530796.6528884</v>
      </c>
      <c r="O35" s="65">
        <f t="shared" si="15"/>
        <v>678254412.5859462</v>
      </c>
      <c r="P35" s="62" t="s">
        <v>25</v>
      </c>
      <c r="Q35" s="63" t="s">
        <v>26</v>
      </c>
      <c r="R35" s="65">
        <f t="shared" si="15"/>
        <v>698902500.8376651</v>
      </c>
      <c r="S35" s="65">
        <f t="shared" si="15"/>
        <v>712180550.8544184</v>
      </c>
      <c r="T35" s="65">
        <f t="shared" si="15"/>
        <v>730744161.8715068</v>
      </c>
      <c r="U35" s="65">
        <f t="shared" si="15"/>
        <v>745599045.1089369</v>
      </c>
      <c r="V35" s="65">
        <f t="shared" si="15"/>
        <v>760751026.0111157</v>
      </c>
      <c r="W35" s="65">
        <f t="shared" si="15"/>
        <v>776206046.531338</v>
      </c>
      <c r="X35" s="65">
        <f t="shared" si="15"/>
        <v>803970167.4619647</v>
      </c>
      <c r="Y35" s="65">
        <f t="shared" si="15"/>
        <v>820049570.8112041</v>
      </c>
      <c r="Z35" s="65">
        <f t="shared" si="15"/>
        <v>836450562.2274282</v>
      </c>
      <c r="AA35" s="65">
        <f t="shared" si="15"/>
        <v>853179573.4719768</v>
      </c>
      <c r="AB35" s="65">
        <f t="shared" si="15"/>
        <v>870243164.9414163</v>
      </c>
      <c r="AC35" s="65">
        <f t="shared" si="15"/>
        <v>887648028.2402446</v>
      </c>
      <c r="AD35" s="65">
        <f t="shared" si="15"/>
        <v>905400988.8050495</v>
      </c>
      <c r="AE35" s="62" t="s">
        <v>25</v>
      </c>
      <c r="AF35" s="63" t="s">
        <v>26</v>
      </c>
      <c r="AG35" s="65">
        <f t="shared" si="15"/>
        <v>923509008.5811505</v>
      </c>
      <c r="AH35" s="65">
        <f t="shared" si="15"/>
        <v>941979188.7527735</v>
      </c>
      <c r="AI35" s="65">
        <f t="shared" si="15"/>
        <v>960818772.527829</v>
      </c>
      <c r="AJ35" s="65">
        <f t="shared" si="15"/>
        <v>980035147.9783857</v>
      </c>
      <c r="AK35" s="65">
        <f t="shared" si="15"/>
        <v>999635850.9379535</v>
      </c>
      <c r="AL35" s="65">
        <f t="shared" si="15"/>
        <v>1019628567.9567126</v>
      </c>
      <c r="AM35" s="65">
        <f t="shared" si="15"/>
        <v>1040021139.3158469</v>
      </c>
      <c r="AN35" s="65">
        <f t="shared" si="15"/>
        <v>1060821562.1021639</v>
      </c>
      <c r="AO35" s="65">
        <f t="shared" si="15"/>
        <v>1082037993.3442073</v>
      </c>
    </row>
    <row r="36" spans="1:41" s="15" customFormat="1" ht="22.5" customHeight="1">
      <c r="A36" s="6" t="s">
        <v>27</v>
      </c>
      <c r="B36" s="7" t="s">
        <v>28</v>
      </c>
      <c r="C36" s="26">
        <f>C34-C35</f>
        <v>-74138541.71000004</v>
      </c>
      <c r="D36" s="26"/>
      <c r="E36" s="17">
        <f>E34-E35</f>
        <v>-80180219.95999992</v>
      </c>
      <c r="F36" s="17">
        <f aca="true" t="shared" si="16" ref="F36:U36">F34-F35</f>
        <v>20130880</v>
      </c>
      <c r="G36" s="17">
        <f t="shared" si="16"/>
        <v>24130880</v>
      </c>
      <c r="H36" s="17">
        <f t="shared" si="16"/>
        <v>24130880</v>
      </c>
      <c r="I36" s="17">
        <f t="shared" si="16"/>
        <v>24140880</v>
      </c>
      <c r="J36" s="17">
        <f t="shared" si="16"/>
        <v>23480880</v>
      </c>
      <c r="K36" s="17">
        <f t="shared" si="16"/>
        <v>23480880</v>
      </c>
      <c r="L36" s="17">
        <f t="shared" si="16"/>
        <v>23480880</v>
      </c>
      <c r="M36" s="17">
        <f t="shared" si="16"/>
        <v>24480887.820000052</v>
      </c>
      <c r="N36" s="17">
        <f t="shared" si="16"/>
        <v>24650000</v>
      </c>
      <c r="O36" s="17">
        <f t="shared" si="16"/>
        <v>21650000</v>
      </c>
      <c r="P36" s="6" t="s">
        <v>27</v>
      </c>
      <c r="Q36" s="7" t="s">
        <v>28</v>
      </c>
      <c r="R36" s="17">
        <f t="shared" si="16"/>
        <v>15000000</v>
      </c>
      <c r="S36" s="17">
        <f t="shared" si="16"/>
        <v>16000000</v>
      </c>
      <c r="T36" s="17">
        <f t="shared" si="16"/>
        <v>12000000</v>
      </c>
      <c r="U36" s="17">
        <f t="shared" si="16"/>
        <v>12000000</v>
      </c>
      <c r="V36" s="17">
        <f aca="true" t="shared" si="17" ref="V36:AO36">V34-V35</f>
        <v>12000000</v>
      </c>
      <c r="W36" s="17">
        <f t="shared" si="17"/>
        <v>12000000</v>
      </c>
      <c r="X36" s="17">
        <f t="shared" si="17"/>
        <v>0</v>
      </c>
      <c r="Y36" s="17">
        <f t="shared" si="17"/>
        <v>0</v>
      </c>
      <c r="Z36" s="17">
        <f t="shared" si="17"/>
        <v>0</v>
      </c>
      <c r="AA36" s="17">
        <f t="shared" si="17"/>
        <v>0</v>
      </c>
      <c r="AB36" s="17">
        <f t="shared" si="17"/>
        <v>0</v>
      </c>
      <c r="AC36" s="17">
        <f t="shared" si="17"/>
        <v>0</v>
      </c>
      <c r="AD36" s="17">
        <f t="shared" si="17"/>
        <v>0</v>
      </c>
      <c r="AE36" s="6" t="s">
        <v>27</v>
      </c>
      <c r="AF36" s="7" t="s">
        <v>28</v>
      </c>
      <c r="AG36" s="17">
        <f t="shared" si="17"/>
        <v>0</v>
      </c>
      <c r="AH36" s="17">
        <f t="shared" si="17"/>
        <v>0</v>
      </c>
      <c r="AI36" s="17">
        <f t="shared" si="17"/>
        <v>0</v>
      </c>
      <c r="AJ36" s="17">
        <f t="shared" si="17"/>
        <v>0</v>
      </c>
      <c r="AK36" s="17">
        <f t="shared" si="17"/>
        <v>0</v>
      </c>
      <c r="AL36" s="17">
        <f t="shared" si="17"/>
        <v>0</v>
      </c>
      <c r="AM36" s="17">
        <f t="shared" si="17"/>
        <v>0</v>
      </c>
      <c r="AN36" s="17">
        <f t="shared" si="17"/>
        <v>0</v>
      </c>
      <c r="AO36" s="17">
        <f t="shared" si="17"/>
        <v>0</v>
      </c>
    </row>
    <row r="37" spans="1:41" s="3" customFormat="1" ht="22.5" customHeight="1">
      <c r="A37" s="2" t="s">
        <v>29</v>
      </c>
      <c r="B37" s="23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" t="s">
        <v>29</v>
      </c>
      <c r="Q37" s="23" t="s">
        <v>30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" t="s">
        <v>29</v>
      </c>
      <c r="AF37" s="23" t="s">
        <v>30</v>
      </c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s="10" customFormat="1" ht="15" customHeight="1">
      <c r="A38" s="8" t="s">
        <v>31</v>
      </c>
      <c r="B38" s="16" t="s">
        <v>44</v>
      </c>
      <c r="C38" s="22">
        <f>(C7-C23-C27-C32)/C34</f>
        <v>0.4255455813796083</v>
      </c>
      <c r="D38" s="28"/>
      <c r="E38" s="22">
        <f aca="true" t="shared" si="18" ref="E38:AO38">(E7-E23-E27-E32)/E34</f>
        <v>0.5213648906419432</v>
      </c>
      <c r="F38" s="22">
        <f t="shared" si="18"/>
        <v>0.4996615998662007</v>
      </c>
      <c r="G38" s="22">
        <f t="shared" si="18"/>
        <v>0.4494685518082461</v>
      </c>
      <c r="H38" s="22">
        <f t="shared" si="18"/>
        <v>0.40105175492370365</v>
      </c>
      <c r="I38" s="22">
        <f t="shared" si="18"/>
        <v>0.35434475966840606</v>
      </c>
      <c r="J38" s="22">
        <f t="shared" si="18"/>
        <v>0.3103563525571092</v>
      </c>
      <c r="K38" s="22">
        <f t="shared" si="18"/>
        <v>0.267956746970489</v>
      </c>
      <c r="L38" s="22">
        <f t="shared" si="18"/>
        <v>0.22710054907986188</v>
      </c>
      <c r="M38" s="22">
        <f t="shared" si="18"/>
        <v>0.18625703404033322</v>
      </c>
      <c r="N38" s="22">
        <f t="shared" si="18"/>
        <v>0.14668145843043</v>
      </c>
      <c r="O38" s="22">
        <f t="shared" si="18"/>
        <v>0.11287255599392157</v>
      </c>
      <c r="P38" s="8" t="s">
        <v>31</v>
      </c>
      <c r="Q38" s="16" t="s">
        <v>44</v>
      </c>
      <c r="R38" s="22">
        <f t="shared" si="18"/>
        <v>0.0896480960984237</v>
      </c>
      <c r="S38" s="22">
        <f t="shared" si="18"/>
        <v>0.06591771771942918</v>
      </c>
      <c r="T38" s="22">
        <f t="shared" si="18"/>
        <v>0.04846891008781557</v>
      </c>
      <c r="U38" s="22">
        <f t="shared" si="18"/>
        <v>0.03167902620118665</v>
      </c>
      <c r="V38" s="22">
        <f t="shared" si="18"/>
        <v>0.015528934412346398</v>
      </c>
      <c r="W38" s="22">
        <f t="shared" si="18"/>
        <v>0</v>
      </c>
      <c r="X38" s="22">
        <f t="shared" si="18"/>
        <v>0</v>
      </c>
      <c r="Y38" s="22">
        <f t="shared" si="18"/>
        <v>0</v>
      </c>
      <c r="Z38" s="22">
        <f t="shared" si="18"/>
        <v>0</v>
      </c>
      <c r="AA38" s="22">
        <f t="shared" si="18"/>
        <v>0</v>
      </c>
      <c r="AB38" s="22">
        <f t="shared" si="18"/>
        <v>0</v>
      </c>
      <c r="AC38" s="22">
        <f t="shared" si="18"/>
        <v>0</v>
      </c>
      <c r="AD38" s="22">
        <f t="shared" si="18"/>
        <v>0</v>
      </c>
      <c r="AE38" s="8" t="s">
        <v>31</v>
      </c>
      <c r="AF38" s="16" t="s">
        <v>44</v>
      </c>
      <c r="AG38" s="22">
        <f t="shared" si="18"/>
        <v>0</v>
      </c>
      <c r="AH38" s="22">
        <f t="shared" si="18"/>
        <v>0</v>
      </c>
      <c r="AI38" s="22">
        <f t="shared" si="18"/>
        <v>0</v>
      </c>
      <c r="AJ38" s="22">
        <f t="shared" si="18"/>
        <v>0</v>
      </c>
      <c r="AK38" s="22">
        <f t="shared" si="18"/>
        <v>0</v>
      </c>
      <c r="AL38" s="22">
        <f t="shared" si="18"/>
        <v>0</v>
      </c>
      <c r="AM38" s="22">
        <f t="shared" si="18"/>
        <v>0</v>
      </c>
      <c r="AN38" s="22">
        <f t="shared" si="18"/>
        <v>0</v>
      </c>
      <c r="AO38" s="22">
        <f t="shared" si="18"/>
        <v>0</v>
      </c>
    </row>
    <row r="39" spans="1:41" s="10" customFormat="1" ht="28.5" customHeight="1">
      <c r="A39" s="8" t="s">
        <v>32</v>
      </c>
      <c r="B39" s="16" t="s">
        <v>43</v>
      </c>
      <c r="C39" s="22">
        <f>(C8+C12-C23-C27)/C34</f>
        <v>0.4255455813796083</v>
      </c>
      <c r="D39" s="26"/>
      <c r="E39" s="22">
        <f aca="true" t="shared" si="19" ref="E39:AO39">(E8+E12-E23-E27)/E34</f>
        <v>0.5213648906419432</v>
      </c>
      <c r="F39" s="22">
        <f t="shared" si="19"/>
        <v>0.4996615998662007</v>
      </c>
      <c r="G39" s="22">
        <f t="shared" si="19"/>
        <v>0.4494685518082461</v>
      </c>
      <c r="H39" s="22">
        <f t="shared" si="19"/>
        <v>0.40105175492370365</v>
      </c>
      <c r="I39" s="22">
        <f t="shared" si="19"/>
        <v>0.35434475966840606</v>
      </c>
      <c r="J39" s="22">
        <f t="shared" si="19"/>
        <v>0.3103563525571092</v>
      </c>
      <c r="K39" s="22">
        <f t="shared" si="19"/>
        <v>0.267956746970489</v>
      </c>
      <c r="L39" s="22">
        <f t="shared" si="19"/>
        <v>0.22710054907986188</v>
      </c>
      <c r="M39" s="22">
        <f t="shared" si="19"/>
        <v>0.18625703404033322</v>
      </c>
      <c r="N39" s="22">
        <f t="shared" si="19"/>
        <v>0.14668145843043</v>
      </c>
      <c r="O39" s="22">
        <f t="shared" si="19"/>
        <v>0.11287255599392157</v>
      </c>
      <c r="P39" s="8" t="s">
        <v>32</v>
      </c>
      <c r="Q39" s="16" t="s">
        <v>43</v>
      </c>
      <c r="R39" s="22">
        <f t="shared" si="19"/>
        <v>0.0896480960984237</v>
      </c>
      <c r="S39" s="22">
        <f t="shared" si="19"/>
        <v>0.06591771771942918</v>
      </c>
      <c r="T39" s="22">
        <f t="shared" si="19"/>
        <v>0.04846891008781557</v>
      </c>
      <c r="U39" s="22">
        <f t="shared" si="19"/>
        <v>0.03167902620118665</v>
      </c>
      <c r="V39" s="22">
        <f t="shared" si="19"/>
        <v>0.015528934412346398</v>
      </c>
      <c r="W39" s="22">
        <f t="shared" si="19"/>
        <v>0</v>
      </c>
      <c r="X39" s="22">
        <f t="shared" si="19"/>
        <v>0</v>
      </c>
      <c r="Y39" s="22">
        <f t="shared" si="19"/>
        <v>0</v>
      </c>
      <c r="Z39" s="22">
        <f t="shared" si="19"/>
        <v>0</v>
      </c>
      <c r="AA39" s="22">
        <f t="shared" si="19"/>
        <v>0</v>
      </c>
      <c r="AB39" s="22">
        <f t="shared" si="19"/>
        <v>0</v>
      </c>
      <c r="AC39" s="22">
        <f t="shared" si="19"/>
        <v>0</v>
      </c>
      <c r="AD39" s="22">
        <f t="shared" si="19"/>
        <v>0</v>
      </c>
      <c r="AE39" s="8" t="s">
        <v>32</v>
      </c>
      <c r="AF39" s="16" t="s">
        <v>43</v>
      </c>
      <c r="AG39" s="22">
        <f t="shared" si="19"/>
        <v>0</v>
      </c>
      <c r="AH39" s="22">
        <f t="shared" si="19"/>
        <v>0</v>
      </c>
      <c r="AI39" s="22">
        <f t="shared" si="19"/>
        <v>0</v>
      </c>
      <c r="AJ39" s="22">
        <f t="shared" si="19"/>
        <v>0</v>
      </c>
      <c r="AK39" s="22">
        <f t="shared" si="19"/>
        <v>0</v>
      </c>
      <c r="AL39" s="22">
        <f t="shared" si="19"/>
        <v>0</v>
      </c>
      <c r="AM39" s="22">
        <f t="shared" si="19"/>
        <v>0</v>
      </c>
      <c r="AN39" s="22">
        <f t="shared" si="19"/>
        <v>0</v>
      </c>
      <c r="AO39" s="22">
        <f t="shared" si="19"/>
        <v>0</v>
      </c>
    </row>
    <row r="40" spans="1:41" s="10" customFormat="1" ht="15" customHeight="1">
      <c r="A40" s="8" t="s">
        <v>33</v>
      </c>
      <c r="B40" s="16" t="s">
        <v>36</v>
      </c>
      <c r="C40" s="22">
        <f>C20/C34</f>
        <v>0.04917155979883432</v>
      </c>
      <c r="D40" s="26"/>
      <c r="E40" s="22">
        <f aca="true" t="shared" si="20" ref="E40:AL40">E20/E34</f>
        <v>0.05561746975435726</v>
      </c>
      <c r="F40" s="22">
        <f t="shared" si="20"/>
        <v>0.07600088413796306</v>
      </c>
      <c r="G40" s="22">
        <f t="shared" si="20"/>
        <v>0.07933547792401238</v>
      </c>
      <c r="H40" s="22">
        <f t="shared" si="20"/>
        <v>0.07551407603290354</v>
      </c>
      <c r="I40" s="22">
        <f t="shared" si="20"/>
        <v>0.07180863436508375</v>
      </c>
      <c r="J40" s="22">
        <f t="shared" si="20"/>
        <v>0.0673853462726482</v>
      </c>
      <c r="K40" s="22">
        <f t="shared" si="20"/>
        <v>0.06382692251745721</v>
      </c>
      <c r="L40" s="22">
        <f t="shared" si="20"/>
        <v>0.060389526136124014</v>
      </c>
      <c r="M40" s="22">
        <f t="shared" si="20"/>
        <v>0.05853820581154983</v>
      </c>
      <c r="N40" s="22">
        <f t="shared" si="20"/>
        <v>0.055365274859503134</v>
      </c>
      <c r="O40" s="22">
        <f t="shared" si="20"/>
        <v>0.04766226768988059</v>
      </c>
      <c r="P40" s="8" t="s">
        <v>33</v>
      </c>
      <c r="Q40" s="16" t="s">
        <v>36</v>
      </c>
      <c r="R40" s="22">
        <f t="shared" si="20"/>
        <v>0.03533891290533067</v>
      </c>
      <c r="S40" s="22">
        <f t="shared" si="20"/>
        <v>0.0344575639387221</v>
      </c>
      <c r="T40" s="22">
        <f t="shared" si="20"/>
        <v>0.026776686658683727</v>
      </c>
      <c r="U40" s="22">
        <f t="shared" si="20"/>
        <v>0.025045826011134406</v>
      </c>
      <c r="V40" s="22">
        <f t="shared" si="20"/>
        <v>0.023375448743487227</v>
      </c>
      <c r="W40" s="22">
        <f t="shared" si="20"/>
        <v>0.020541085127740496</v>
      </c>
      <c r="X40" s="22">
        <f t="shared" si="20"/>
        <v>0.0041910537310570145</v>
      </c>
      <c r="Y40" s="22">
        <f t="shared" si="20"/>
        <v>0.0038345474004570232</v>
      </c>
      <c r="Z40" s="22">
        <f t="shared" si="20"/>
        <v>0.0037423923078778137</v>
      </c>
      <c r="AA40" s="22">
        <f t="shared" si="20"/>
        <v>0.0037235410794845356</v>
      </c>
      <c r="AB40" s="22">
        <f t="shared" si="20"/>
        <v>0.0037052871196260064</v>
      </c>
      <c r="AC40" s="22">
        <f t="shared" si="20"/>
        <v>0.003687122672359712</v>
      </c>
      <c r="AD40" s="22">
        <f t="shared" si="20"/>
        <v>0.0036690472189392343</v>
      </c>
      <c r="AE40" s="8" t="s">
        <v>33</v>
      </c>
      <c r="AF40" s="16" t="s">
        <v>36</v>
      </c>
      <c r="AG40" s="22">
        <f t="shared" si="20"/>
        <v>0.00365106041053168</v>
      </c>
      <c r="AH40" s="22">
        <f t="shared" si="20"/>
        <v>0.0036331617416424833</v>
      </c>
      <c r="AI40" s="22">
        <f t="shared" si="20"/>
        <v>0.0036153508646183203</v>
      </c>
      <c r="AJ40" s="22">
        <f t="shared" si="20"/>
        <v>0.0035976272455870736</v>
      </c>
      <c r="AK40" s="22">
        <f t="shared" si="20"/>
        <v>0.0035799905702082768</v>
      </c>
      <c r="AL40" s="22">
        <f t="shared" si="20"/>
        <v>0.0035624403377389566</v>
      </c>
      <c r="AM40" s="22">
        <v>0.001</v>
      </c>
      <c r="AN40" s="22">
        <v>0.001</v>
      </c>
      <c r="AO40" s="22">
        <v>0.001</v>
      </c>
    </row>
    <row r="41" spans="1:41" s="10" customFormat="1" ht="25.5" customHeight="1">
      <c r="A41" s="8" t="s">
        <v>34</v>
      </c>
      <c r="B41" s="16" t="s">
        <v>37</v>
      </c>
      <c r="C41" s="22">
        <f>(C21+C33)/C34</f>
        <v>0.04917155979883432</v>
      </c>
      <c r="D41" s="26"/>
      <c r="E41" s="22">
        <f aca="true" t="shared" si="21" ref="E41:AL41">(E21+E33)/E34</f>
        <v>0.05561746975435726</v>
      </c>
      <c r="F41" s="22">
        <f t="shared" si="21"/>
        <v>0.07600088413796306</v>
      </c>
      <c r="G41" s="22">
        <f t="shared" si="21"/>
        <v>0.07933547792401238</v>
      </c>
      <c r="H41" s="22">
        <f t="shared" si="21"/>
        <v>0.07551407603290354</v>
      </c>
      <c r="I41" s="22">
        <f t="shared" si="21"/>
        <v>0.07180863436508375</v>
      </c>
      <c r="J41" s="22">
        <f t="shared" si="21"/>
        <v>0.0673853462726482</v>
      </c>
      <c r="K41" s="22">
        <f t="shared" si="21"/>
        <v>0.06382692251745721</v>
      </c>
      <c r="L41" s="22">
        <f t="shared" si="21"/>
        <v>0.060389526136124014</v>
      </c>
      <c r="M41" s="22">
        <f t="shared" si="21"/>
        <v>0.05853820581154983</v>
      </c>
      <c r="N41" s="22">
        <f t="shared" si="21"/>
        <v>0.055365274859503134</v>
      </c>
      <c r="O41" s="22">
        <f t="shared" si="21"/>
        <v>0.04766226768988059</v>
      </c>
      <c r="P41" s="8" t="s">
        <v>34</v>
      </c>
      <c r="Q41" s="16" t="s">
        <v>37</v>
      </c>
      <c r="R41" s="22">
        <f t="shared" si="21"/>
        <v>0.03533891290533067</v>
      </c>
      <c r="S41" s="22">
        <f t="shared" si="21"/>
        <v>0.0344575639387221</v>
      </c>
      <c r="T41" s="22">
        <f t="shared" si="21"/>
        <v>0.026776686658683727</v>
      </c>
      <c r="U41" s="22">
        <f t="shared" si="21"/>
        <v>0.025045826011134406</v>
      </c>
      <c r="V41" s="22">
        <f t="shared" si="21"/>
        <v>0.023375448743487227</v>
      </c>
      <c r="W41" s="22">
        <f t="shared" si="21"/>
        <v>0.020541085127740496</v>
      </c>
      <c r="X41" s="22">
        <f t="shared" si="21"/>
        <v>0.0041910537310570145</v>
      </c>
      <c r="Y41" s="22">
        <f t="shared" si="21"/>
        <v>0.0038345474004570232</v>
      </c>
      <c r="Z41" s="22">
        <f t="shared" si="21"/>
        <v>0.0037423923078778137</v>
      </c>
      <c r="AA41" s="22">
        <f t="shared" si="21"/>
        <v>0.0037235410794845356</v>
      </c>
      <c r="AB41" s="22">
        <f t="shared" si="21"/>
        <v>0.0037052871196260064</v>
      </c>
      <c r="AC41" s="22">
        <f t="shared" si="21"/>
        <v>0.003687122672359712</v>
      </c>
      <c r="AD41" s="22">
        <f t="shared" si="21"/>
        <v>0.0036690472189392343</v>
      </c>
      <c r="AE41" s="8" t="s">
        <v>34</v>
      </c>
      <c r="AF41" s="16" t="s">
        <v>37</v>
      </c>
      <c r="AG41" s="22">
        <f t="shared" si="21"/>
        <v>0.00365106041053168</v>
      </c>
      <c r="AH41" s="22">
        <f t="shared" si="21"/>
        <v>0.0036331617416424833</v>
      </c>
      <c r="AI41" s="22">
        <f t="shared" si="21"/>
        <v>0.0036153508646183203</v>
      </c>
      <c r="AJ41" s="22">
        <f t="shared" si="21"/>
        <v>0.0035976272455870736</v>
      </c>
      <c r="AK41" s="22">
        <f t="shared" si="21"/>
        <v>0.0035799905702082768</v>
      </c>
      <c r="AL41" s="22">
        <f t="shared" si="21"/>
        <v>0.0035624403377389566</v>
      </c>
      <c r="AM41" s="22">
        <v>0.001</v>
      </c>
      <c r="AN41" s="22">
        <v>0.001</v>
      </c>
      <c r="AO41" s="22">
        <v>0.001</v>
      </c>
    </row>
    <row r="42" spans="1:41" s="10" customFormat="1" ht="25.5" customHeight="1">
      <c r="A42" s="78" t="s">
        <v>58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4"/>
      <c r="Q42" s="74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17" ht="57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73"/>
      <c r="Q43" s="73"/>
    </row>
    <row r="44" spans="1:3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2:41" ht="12.75">
      <c r="B45" s="3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>
        <f aca="true" t="shared" si="22" ref="AA45:AL45">AA21+AA33</f>
        <v>3176849.19</v>
      </c>
      <c r="AB45" s="29">
        <f t="shared" si="22"/>
        <v>3224500.79</v>
      </c>
      <c r="AC45" s="29">
        <f t="shared" si="22"/>
        <v>3272867.17</v>
      </c>
      <c r="AD45" s="29">
        <f t="shared" si="22"/>
        <v>3321958.98</v>
      </c>
      <c r="AE45" s="29"/>
      <c r="AF45" s="29"/>
      <c r="AG45" s="29">
        <f t="shared" si="22"/>
        <v>3371787.18</v>
      </c>
      <c r="AH45" s="29">
        <f t="shared" si="22"/>
        <v>3422362.75</v>
      </c>
      <c r="AI45" s="29">
        <f t="shared" si="22"/>
        <v>3473696.98</v>
      </c>
      <c r="AJ45" s="29">
        <f t="shared" si="22"/>
        <v>3525801.15</v>
      </c>
      <c r="AK45" s="29">
        <f t="shared" si="22"/>
        <v>3578686.92</v>
      </c>
      <c r="AL45" s="29">
        <f t="shared" si="22"/>
        <v>3632365.94</v>
      </c>
      <c r="AM45" s="29"/>
      <c r="AN45" s="29"/>
      <c r="AO45" s="29"/>
    </row>
    <row r="46" spans="2:41" ht="12.75">
      <c r="B46" s="3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spans="3:5" ht="11.25" customHeight="1">
      <c r="C51" s="1"/>
      <c r="D51" s="1"/>
      <c r="E51" s="29"/>
    </row>
    <row r="52" ht="12.75">
      <c r="E52" s="29"/>
    </row>
  </sheetData>
  <mergeCells count="11">
    <mergeCell ref="P4:P5"/>
    <mergeCell ref="Q4:Q5"/>
    <mergeCell ref="AE4:AE5"/>
    <mergeCell ref="AF4:AF5"/>
    <mergeCell ref="A42:O43"/>
    <mergeCell ref="M2:O2"/>
    <mergeCell ref="A4:A5"/>
    <mergeCell ref="B4:B5"/>
    <mergeCell ref="C4:C5"/>
    <mergeCell ref="D4:O4"/>
    <mergeCell ref="C3:O3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2" fitToWidth="0" horizontalDpi="600" verticalDpi="600" orientation="landscape" paperSize="9" scale="56" r:id="rId1"/>
  <colBreaks count="1" manualBreakCount="1">
    <brk id="30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rutkowskaj</cp:lastModifiedBy>
  <cp:lastPrinted>2010-01-04T13:00:37Z</cp:lastPrinted>
  <dcterms:created xsi:type="dcterms:W3CDTF">1997-02-26T13:46:56Z</dcterms:created>
  <dcterms:modified xsi:type="dcterms:W3CDTF">2008-01-22T13:10:18Z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